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085" yWindow="465" windowWidth="25440" windowHeight="15990"/>
  </bookViews>
  <sheets>
    <sheet name="Instrucciones" sheetId="2" r:id="rId1"/>
    <sheet name="1. Inicial" sheetId="1" r:id="rId2"/>
    <sheet name="2. CalificaciónA" sheetId="5" r:id="rId3"/>
    <sheet name="3. Escenarios" sheetId="6" r:id="rId4"/>
    <sheet name="4. Comparativa" sheetId="7" r:id="rId5"/>
    <sheet name="5. Observaciones" sheetId="4" r:id="rId6"/>
    <sheet name="simulacion" sheetId="3" state="hidden" r:id="rId7"/>
  </sheets>
  <definedNames>
    <definedName name="_xlnm.Print_Area" localSheetId="6">simulacion!$G$39:$O$45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K44" i="7"/>
  <c r="N44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L75" i="3"/>
  <c r="G48" i="6"/>
  <c r="M75" i="3"/>
  <c r="B32" i="7"/>
  <c r="B27" i="7"/>
  <c r="B11" i="6"/>
  <c r="D15" i="7"/>
  <c r="D14" i="7"/>
  <c r="E15" i="7"/>
  <c r="H15" i="7" s="1"/>
  <c r="C14" i="7"/>
  <c r="H91" i="3"/>
  <c r="H83" i="3"/>
  <c r="K85" i="3"/>
  <c r="K86" i="3"/>
  <c r="H39" i="3"/>
  <c r="K33" i="3"/>
  <c r="K41" i="3"/>
  <c r="K42" i="3"/>
  <c r="H31" i="3"/>
  <c r="L78" i="3"/>
  <c r="L105" i="3"/>
  <c r="M78" i="3"/>
  <c r="M105" i="3"/>
  <c r="J85" i="3"/>
  <c r="J86" i="3"/>
  <c r="J93" i="3"/>
  <c r="J94" i="3"/>
  <c r="I85" i="3"/>
  <c r="I93" i="3"/>
  <c r="I94" i="3"/>
  <c r="I96" i="3"/>
  <c r="D43" i="6"/>
  <c r="K93" i="3"/>
  <c r="K94" i="3"/>
  <c r="L85" i="3"/>
  <c r="L86" i="3"/>
  <c r="M96" i="3"/>
  <c r="I86" i="3"/>
  <c r="M88" i="3"/>
  <c r="M76" i="3"/>
  <c r="H48" i="6"/>
  <c r="H43" i="6"/>
  <c r="E41" i="6"/>
  <c r="F41" i="6"/>
  <c r="M85" i="3"/>
  <c r="D41" i="6"/>
  <c r="H13" i="3"/>
  <c r="H14" i="3"/>
  <c r="I26" i="3"/>
  <c r="I24" i="3"/>
  <c r="K26" i="3"/>
  <c r="K53" i="3"/>
  <c r="H15" i="3"/>
  <c r="K25" i="3" s="1"/>
  <c r="L23" i="3"/>
  <c r="G24" i="6" s="1"/>
  <c r="L26" i="3"/>
  <c r="L53" i="3"/>
  <c r="L24" i="3"/>
  <c r="L27" i="3"/>
  <c r="L28" i="3" s="1"/>
  <c r="G23" i="6" s="1"/>
  <c r="M23" i="3"/>
  <c r="H24" i="6" s="1"/>
  <c r="M26" i="3"/>
  <c r="M53" i="3"/>
  <c r="J26" i="3"/>
  <c r="J53" i="3"/>
  <c r="J63" i="3"/>
  <c r="J25" i="3"/>
  <c r="J24" i="3"/>
  <c r="E25" i="6" s="1"/>
  <c r="M114" i="3"/>
  <c r="L114" i="3"/>
  <c r="I114" i="3"/>
  <c r="M111" i="3"/>
  <c r="L111" i="3"/>
  <c r="K111" i="3"/>
  <c r="J111" i="3"/>
  <c r="M101" i="3"/>
  <c r="L101" i="3"/>
  <c r="K101" i="3"/>
  <c r="J101" i="3"/>
  <c r="I33" i="3"/>
  <c r="L33" i="3"/>
  <c r="L41" i="3"/>
  <c r="M44" i="3"/>
  <c r="M97" i="3"/>
  <c r="M95" i="3"/>
  <c r="M92" i="3"/>
  <c r="L92" i="3"/>
  <c r="K92" i="3"/>
  <c r="J92" i="3"/>
  <c r="M84" i="3"/>
  <c r="L84" i="3"/>
  <c r="K84" i="3"/>
  <c r="J84" i="3"/>
  <c r="C14" i="5"/>
  <c r="C12" i="5"/>
  <c r="I15" i="3"/>
  <c r="H28" i="3"/>
  <c r="H65" i="3"/>
  <c r="H80" i="3"/>
  <c r="C13" i="5"/>
  <c r="M74" i="3"/>
  <c r="L74" i="3"/>
  <c r="K74" i="3"/>
  <c r="J74" i="3"/>
  <c r="C53" i="6"/>
  <c r="C50" i="6"/>
  <c r="M33" i="3"/>
  <c r="M41" i="3"/>
  <c r="J33" i="3"/>
  <c r="J41" i="3"/>
  <c r="J42" i="3"/>
  <c r="C47" i="6"/>
  <c r="P15" i="5"/>
  <c r="H26" i="5"/>
  <c r="G26" i="5"/>
  <c r="F26" i="5"/>
  <c r="E26" i="5"/>
  <c r="F20" i="5"/>
  <c r="P18" i="5"/>
  <c r="I30" i="5"/>
  <c r="J30" i="5"/>
  <c r="I27" i="5"/>
  <c r="J27" i="5"/>
  <c r="I53" i="3"/>
  <c r="I63" i="3"/>
  <c r="I62" i="3"/>
  <c r="I61" i="3"/>
  <c r="D31" i="6"/>
  <c r="J52" i="3"/>
  <c r="K63" i="3"/>
  <c r="L62" i="3"/>
  <c r="M62" i="3"/>
  <c r="C29" i="6"/>
  <c r="C23" i="6"/>
  <c r="I51" i="3"/>
  <c r="D28" i="6"/>
  <c r="J34" i="3"/>
  <c r="K34" i="3"/>
  <c r="M36" i="3"/>
  <c r="C26" i="6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H19" i="6"/>
  <c r="H18" i="6"/>
  <c r="M18" i="6"/>
  <c r="F17" i="6"/>
  <c r="E17" i="6"/>
  <c r="D17" i="6"/>
  <c r="H55" i="3"/>
  <c r="D25" i="6"/>
  <c r="N26" i="3"/>
  <c r="P15" i="1"/>
  <c r="P18" i="1"/>
  <c r="I30" i="1"/>
  <c r="J30" i="1"/>
  <c r="I27" i="1"/>
  <c r="J27" i="1"/>
  <c r="M43" i="3"/>
  <c r="M34" i="3"/>
  <c r="M59" i="3"/>
  <c r="L59" i="3"/>
  <c r="K59" i="3"/>
  <c r="J59" i="3"/>
  <c r="M49" i="3"/>
  <c r="L49" i="3"/>
  <c r="K49" i="3"/>
  <c r="J49" i="3"/>
  <c r="M40" i="3"/>
  <c r="L40" i="3"/>
  <c r="K40" i="3"/>
  <c r="J40" i="3"/>
  <c r="M32" i="3"/>
  <c r="L32" i="3"/>
  <c r="K32" i="3"/>
  <c r="J32" i="3"/>
  <c r="F20" i="1"/>
  <c r="H12" i="3"/>
  <c r="J22" i="3"/>
  <c r="K22" i="3"/>
  <c r="L22" i="3"/>
  <c r="M22" i="3"/>
  <c r="H26" i="1"/>
  <c r="G26" i="1"/>
  <c r="F26" i="1"/>
  <c r="E26" i="1"/>
  <c r="H117" i="3"/>
  <c r="H107" i="3"/>
  <c r="J95" i="3"/>
  <c r="K96" i="3"/>
  <c r="M42" i="3"/>
  <c r="I97" i="3"/>
  <c r="I95" i="3"/>
  <c r="G17" i="6"/>
  <c r="J77" i="3"/>
  <c r="K77" i="3"/>
  <c r="M60" i="3"/>
  <c r="M64" i="3" s="1"/>
  <c r="M65" i="3" s="1"/>
  <c r="H29" i="6" s="1"/>
  <c r="I41" i="3"/>
  <c r="I42" i="3"/>
  <c r="I44" i="3"/>
  <c r="I34" i="3"/>
  <c r="H49" i="6"/>
  <c r="M79" i="3"/>
  <c r="M80" i="3"/>
  <c r="I87" i="3"/>
  <c r="J88" i="3"/>
  <c r="I88" i="3"/>
  <c r="M103" i="3"/>
  <c r="H52" i="6"/>
  <c r="M115" i="3"/>
  <c r="M113" i="3"/>
  <c r="H55" i="6"/>
  <c r="H17" i="6"/>
  <c r="I17" i="6"/>
  <c r="J78" i="3"/>
  <c r="J105" i="3"/>
  <c r="J115" i="3"/>
  <c r="K78" i="3"/>
  <c r="K105" i="3"/>
  <c r="K115" i="3"/>
  <c r="I78" i="3"/>
  <c r="I13" i="3"/>
  <c r="I14" i="3"/>
  <c r="M24" i="3"/>
  <c r="G41" i="6"/>
  <c r="L76" i="3"/>
  <c r="L79" i="3"/>
  <c r="L115" i="3"/>
  <c r="L113" i="3"/>
  <c r="L103" i="3"/>
  <c r="H47" i="6"/>
  <c r="G49" i="6"/>
  <c r="M102" i="3"/>
  <c r="M89" i="3"/>
  <c r="M86" i="3"/>
  <c r="H41" i="6"/>
  <c r="I41" i="6"/>
  <c r="M93" i="3"/>
  <c r="M94" i="3"/>
  <c r="H42" i="6"/>
  <c r="N85" i="3"/>
  <c r="L93" i="3"/>
  <c r="N53" i="3"/>
  <c r="L63" i="3"/>
  <c r="L61" i="3"/>
  <c r="L51" i="3"/>
  <c r="M51" i="3"/>
  <c r="H28" i="6"/>
  <c r="M63" i="3"/>
  <c r="M61" i="3"/>
  <c r="H31" i="6"/>
  <c r="G25" i="6"/>
  <c r="L42" i="3"/>
  <c r="N41" i="3"/>
  <c r="N33" i="3"/>
  <c r="L34" i="3"/>
  <c r="M45" i="3"/>
  <c r="M37" i="3"/>
  <c r="M27" i="3"/>
  <c r="M28" i="3" s="1"/>
  <c r="H23" i="6"/>
  <c r="H25" i="6"/>
  <c r="L80" i="3"/>
  <c r="G47" i="6"/>
  <c r="J87" i="3"/>
  <c r="K88" i="3"/>
  <c r="K87" i="3"/>
  <c r="L88" i="3"/>
  <c r="M87" i="3"/>
  <c r="D42" i="6"/>
  <c r="I89" i="3"/>
  <c r="K76" i="3"/>
  <c r="F49" i="6"/>
  <c r="K104" i="3"/>
  <c r="F43" i="6"/>
  <c r="K97" i="3"/>
  <c r="J44" i="3"/>
  <c r="J96" i="3"/>
  <c r="K95" i="3"/>
  <c r="I76" i="3"/>
  <c r="I105" i="3"/>
  <c r="N78" i="3"/>
  <c r="E42" i="6"/>
  <c r="J89" i="3"/>
  <c r="I36" i="3"/>
  <c r="I35" i="3"/>
  <c r="J36" i="3"/>
  <c r="J104" i="3"/>
  <c r="J76" i="3"/>
  <c r="E49" i="6"/>
  <c r="I45" i="3"/>
  <c r="D19" i="6"/>
  <c r="I43" i="3"/>
  <c r="J43" i="3"/>
  <c r="K44" i="3"/>
  <c r="L44" i="3"/>
  <c r="J75" i="3"/>
  <c r="I16" i="3"/>
  <c r="F15" i="7"/>
  <c r="I75" i="3"/>
  <c r="J112" i="3"/>
  <c r="M112" i="3"/>
  <c r="J102" i="3"/>
  <c r="K102" i="3"/>
  <c r="K75" i="3"/>
  <c r="I112" i="3"/>
  <c r="I102" i="3"/>
  <c r="K112" i="3"/>
  <c r="G52" i="6"/>
  <c r="G55" i="6"/>
  <c r="L94" i="3"/>
  <c r="N93" i="3"/>
  <c r="M106" i="3"/>
  <c r="H51" i="6"/>
  <c r="G28" i="6"/>
  <c r="G31" i="6"/>
  <c r="G19" i="6"/>
  <c r="L45" i="3"/>
  <c r="L43" i="3"/>
  <c r="F48" i="6"/>
  <c r="K79" i="3"/>
  <c r="J103" i="3"/>
  <c r="E52" i="6"/>
  <c r="J114" i="3"/>
  <c r="J113" i="3"/>
  <c r="E55" i="6"/>
  <c r="F54" i="6"/>
  <c r="F51" i="6"/>
  <c r="N75" i="3"/>
  <c r="I79" i="3"/>
  <c r="D48" i="6"/>
  <c r="J37" i="3"/>
  <c r="E18" i="6"/>
  <c r="J60" i="3"/>
  <c r="E30" i="6" s="1"/>
  <c r="E19" i="6"/>
  <c r="F19" i="6"/>
  <c r="I19" i="6"/>
  <c r="J45" i="3"/>
  <c r="N44" i="3"/>
  <c r="K114" i="3"/>
  <c r="K113" i="3"/>
  <c r="F55" i="6"/>
  <c r="K103" i="3"/>
  <c r="F52" i="6"/>
  <c r="K89" i="3"/>
  <c r="F42" i="6"/>
  <c r="L89" i="3"/>
  <c r="G42" i="6"/>
  <c r="I42" i="6"/>
  <c r="L102" i="3"/>
  <c r="D51" i="6"/>
  <c r="J106" i="3"/>
  <c r="E51" i="6"/>
  <c r="J35" i="3"/>
  <c r="K36" i="3"/>
  <c r="K35" i="3"/>
  <c r="L36" i="3"/>
  <c r="D18" i="6"/>
  <c r="I37" i="3"/>
  <c r="I50" i="3"/>
  <c r="I54" i="3" s="1"/>
  <c r="I55" i="3" s="1"/>
  <c r="D26" i="6" s="1"/>
  <c r="I103" i="3"/>
  <c r="I106" i="3"/>
  <c r="I115" i="3"/>
  <c r="I113" i="3"/>
  <c r="N105" i="3"/>
  <c r="N89" i="3"/>
  <c r="E54" i="6"/>
  <c r="K43" i="3"/>
  <c r="K45" i="3"/>
  <c r="E43" i="6"/>
  <c r="J97" i="3"/>
  <c r="L96" i="3"/>
  <c r="N96" i="3"/>
  <c r="N88" i="3"/>
  <c r="D54" i="6"/>
  <c r="I116" i="3"/>
  <c r="M116" i="3"/>
  <c r="H54" i="6"/>
  <c r="J79" i="3"/>
  <c r="E48" i="6"/>
  <c r="D49" i="6"/>
  <c r="N76" i="3"/>
  <c r="L87" i="3"/>
  <c r="M107" i="3"/>
  <c r="H50" i="6"/>
  <c r="D50" i="6"/>
  <c r="I107" i="3"/>
  <c r="K106" i="3"/>
  <c r="L37" i="3"/>
  <c r="G18" i="6"/>
  <c r="K37" i="3"/>
  <c r="F18" i="6"/>
  <c r="L35" i="3"/>
  <c r="N36" i="3"/>
  <c r="M35" i="3"/>
  <c r="D47" i="6"/>
  <c r="I80" i="3"/>
  <c r="K116" i="3"/>
  <c r="K80" i="3"/>
  <c r="F47" i="6"/>
  <c r="D52" i="6"/>
  <c r="N103" i="3"/>
  <c r="E50" i="6"/>
  <c r="J107" i="3"/>
  <c r="M117" i="3"/>
  <c r="H53" i="6"/>
  <c r="D27" i="6"/>
  <c r="D53" i="6"/>
  <c r="I117" i="3"/>
  <c r="E47" i="6"/>
  <c r="J80" i="3"/>
  <c r="L95" i="3"/>
  <c r="G43" i="6"/>
  <c r="I43" i="6"/>
  <c r="L97" i="3"/>
  <c r="N97" i="3"/>
  <c r="L112" i="3"/>
  <c r="J116" i="3"/>
  <c r="D55" i="6"/>
  <c r="N113" i="3"/>
  <c r="G51" i="6"/>
  <c r="N102" i="3"/>
  <c r="L106" i="3"/>
  <c r="N45" i="3"/>
  <c r="M61" i="7"/>
  <c r="M83" i="7"/>
  <c r="M62" i="7"/>
  <c r="M45" i="7"/>
  <c r="M47" i="7"/>
  <c r="M59" i="7"/>
  <c r="M51" i="7"/>
  <c r="M69" i="7"/>
  <c r="M70" i="7"/>
  <c r="M55" i="7"/>
  <c r="M67" i="7"/>
  <c r="M60" i="7"/>
  <c r="M57" i="7"/>
  <c r="M79" i="7"/>
  <c r="M76" i="7"/>
  <c r="M50" i="7"/>
  <c r="M46" i="7"/>
  <c r="M84" i="7"/>
  <c r="M71" i="7"/>
  <c r="M58" i="7"/>
  <c r="M53" i="7"/>
  <c r="M68" i="7"/>
  <c r="M81" i="7"/>
  <c r="M82" i="7"/>
  <c r="M64" i="7"/>
  <c r="M74" i="7"/>
  <c r="M63" i="7"/>
  <c r="M49" i="7"/>
  <c r="M44" i="7"/>
  <c r="M54" i="7"/>
  <c r="M77" i="7"/>
  <c r="M73" i="7"/>
  <c r="M56" i="7"/>
  <c r="M75" i="7"/>
  <c r="M72" i="7"/>
  <c r="M65" i="7"/>
  <c r="M66" i="7"/>
  <c r="M80" i="7"/>
  <c r="M52" i="7"/>
  <c r="H28" i="7"/>
  <c r="D33" i="7"/>
  <c r="D28" i="7"/>
  <c r="M48" i="7"/>
  <c r="M78" i="7"/>
  <c r="F50" i="6"/>
  <c r="G50" i="6"/>
  <c r="P66" i="7"/>
  <c r="P46" i="7"/>
  <c r="P69" i="7"/>
  <c r="P71" i="7"/>
  <c r="P55" i="7"/>
  <c r="P77" i="7"/>
  <c r="P68" i="7"/>
  <c r="P52" i="7"/>
  <c r="L107" i="3"/>
  <c r="F53" i="6"/>
  <c r="K117" i="3"/>
  <c r="I18" i="6"/>
  <c r="G54" i="6"/>
  <c r="L116" i="3"/>
  <c r="N112" i="3"/>
  <c r="P48" i="7"/>
  <c r="K107" i="3"/>
  <c r="P70" i="7"/>
  <c r="P50" i="7"/>
  <c r="P74" i="7"/>
  <c r="P61" i="7"/>
  <c r="P83" i="7"/>
  <c r="P67" i="7"/>
  <c r="P51" i="7"/>
  <c r="P65" i="7"/>
  <c r="P80" i="7"/>
  <c r="P64" i="7"/>
  <c r="E53" i="6"/>
  <c r="J117" i="3"/>
  <c r="N37" i="3"/>
  <c r="G53" i="6"/>
  <c r="S61" i="7"/>
  <c r="L117" i="3"/>
  <c r="S75" i="7"/>
  <c r="S76" i="7"/>
  <c r="S54" i="7"/>
  <c r="S44" i="7"/>
  <c r="S58" i="7"/>
  <c r="S51" i="7"/>
  <c r="E28" i="7"/>
  <c r="S55" i="7"/>
  <c r="S57" i="7"/>
  <c r="P72" i="7"/>
  <c r="P44" i="7"/>
  <c r="P75" i="7"/>
  <c r="P73" i="7"/>
  <c r="P82" i="7"/>
  <c r="P60" i="7"/>
  <c r="P57" i="7"/>
  <c r="P63" i="7"/>
  <c r="P79" i="7"/>
  <c r="P81" i="7"/>
  <c r="P56" i="7"/>
  <c r="P49" i="7"/>
  <c r="P59" i="7"/>
  <c r="P45" i="7"/>
  <c r="P62" i="7"/>
  <c r="P58" i="7"/>
  <c r="P76" i="7"/>
  <c r="P47" i="7"/>
  <c r="P53" i="7"/>
  <c r="P78" i="7"/>
  <c r="P54" i="7"/>
  <c r="P84" i="7"/>
  <c r="G28" i="7"/>
  <c r="C33" i="7"/>
  <c r="C28" i="7"/>
  <c r="S67" i="7"/>
  <c r="S82" i="7"/>
  <c r="S71" i="7"/>
  <c r="S60" i="7"/>
  <c r="S64" i="7"/>
  <c r="S62" i="7"/>
  <c r="S84" i="7"/>
  <c r="S77" i="7"/>
  <c r="S74" i="7"/>
  <c r="S83" i="7"/>
  <c r="S47" i="7"/>
  <c r="S81" i="7"/>
  <c r="S52" i="7"/>
  <c r="S49" i="7"/>
  <c r="S56" i="7"/>
  <c r="S72" i="7"/>
  <c r="S79" i="7"/>
  <c r="S78" i="7"/>
  <c r="S45" i="7"/>
  <c r="S50" i="7"/>
  <c r="S73" i="7"/>
  <c r="S59" i="7"/>
  <c r="I28" i="7"/>
  <c r="S46" i="7"/>
  <c r="S68" i="7"/>
  <c r="S63" i="7"/>
  <c r="S66" i="7"/>
  <c r="S65" i="7"/>
  <c r="S70" i="7"/>
  <c r="S53" i="7"/>
  <c r="S69" i="7"/>
  <c r="S80" i="7"/>
  <c r="S48" i="7"/>
  <c r="E33" i="7"/>
  <c r="K23" i="3" l="1"/>
  <c r="M50" i="3"/>
  <c r="I60" i="3"/>
  <c r="J50" i="3"/>
  <c r="K50" i="3"/>
  <c r="L60" i="3"/>
  <c r="J23" i="3"/>
  <c r="J62" i="3"/>
  <c r="J61" i="3" s="1"/>
  <c r="J51" i="3"/>
  <c r="L50" i="3"/>
  <c r="K60" i="3"/>
  <c r="H30" i="6"/>
  <c r="I23" i="3"/>
  <c r="H16" i="3"/>
  <c r="F14" i="7" s="1"/>
  <c r="G15" i="7" s="1"/>
  <c r="K52" i="3"/>
  <c r="K24" i="3"/>
  <c r="N61" i="3" l="1"/>
  <c r="E31" i="6"/>
  <c r="D30" i="6"/>
  <c r="N60" i="3"/>
  <c r="I64" i="3"/>
  <c r="I65" i="3" s="1"/>
  <c r="D29" i="6" s="1"/>
  <c r="K51" i="3"/>
  <c r="F28" i="6" s="1"/>
  <c r="K62" i="3"/>
  <c r="K61" i="3" s="1"/>
  <c r="F31" i="6" s="1"/>
  <c r="J54" i="3"/>
  <c r="J55" i="3" s="1"/>
  <c r="E26" i="6" s="1"/>
  <c r="N50" i="3"/>
  <c r="E27" i="6"/>
  <c r="F30" i="6"/>
  <c r="K64" i="3"/>
  <c r="K65" i="3" s="1"/>
  <c r="F29" i="6" s="1"/>
  <c r="J27" i="3"/>
  <c r="J28" i="3" s="1"/>
  <c r="E23" i="6" s="1"/>
  <c r="E24" i="6"/>
  <c r="J64" i="3"/>
  <c r="J65" i="3" s="1"/>
  <c r="E29" i="6" s="1"/>
  <c r="G27" i="6"/>
  <c r="L54" i="3"/>
  <c r="L55" i="3" s="1"/>
  <c r="G26" i="6" s="1"/>
  <c r="G30" i="6"/>
  <c r="L64" i="3"/>
  <c r="L65" i="3" s="1"/>
  <c r="G29" i="6" s="1"/>
  <c r="H27" i="6"/>
  <c r="M54" i="3"/>
  <c r="M55" i="3" s="1"/>
  <c r="H26" i="6" s="1"/>
  <c r="F25" i="6"/>
  <c r="N24" i="3"/>
  <c r="D24" i="6"/>
  <c r="I27" i="3"/>
  <c r="I28" i="3" s="1"/>
  <c r="N23" i="3"/>
  <c r="E28" i="6"/>
  <c r="N51" i="3"/>
  <c r="K54" i="3"/>
  <c r="K55" i="3" s="1"/>
  <c r="F26" i="6" s="1"/>
  <c r="F27" i="6"/>
  <c r="K27" i="3"/>
  <c r="K28" i="3" s="1"/>
  <c r="F23" i="6" s="1"/>
  <c r="F24" i="6"/>
  <c r="Y77" i="3" l="1"/>
  <c r="Y25" i="3"/>
  <c r="Y61" i="3"/>
  <c r="Y70" i="3"/>
  <c r="Y51" i="3"/>
  <c r="Y87" i="3"/>
  <c r="Y97" i="3"/>
  <c r="Y99" i="3"/>
  <c r="Y18" i="3"/>
  <c r="Y109" i="3"/>
  <c r="Y71" i="3"/>
  <c r="Y15" i="3"/>
  <c r="Y64" i="3"/>
  <c r="Y68" i="3"/>
  <c r="Y19" i="3"/>
  <c r="Y50" i="3"/>
  <c r="Y73" i="3"/>
  <c r="Y41" i="3"/>
  <c r="Y22" i="3"/>
  <c r="Y108" i="3"/>
  <c r="Y26" i="3"/>
  <c r="Y27" i="3"/>
  <c r="Y16" i="3"/>
  <c r="Y56" i="3"/>
  <c r="Y78" i="3"/>
  <c r="Y39" i="3"/>
  <c r="Y105" i="3"/>
  <c r="Y20" i="3"/>
  <c r="Y98" i="3"/>
  <c r="Y13" i="3"/>
  <c r="Y45" i="3"/>
  <c r="Y46" i="3"/>
  <c r="Y92" i="3"/>
  <c r="Y100" i="3"/>
  <c r="Y85" i="3"/>
  <c r="Y42" i="3"/>
  <c r="Y69" i="3"/>
  <c r="Y59" i="3"/>
  <c r="Y21" i="3"/>
  <c r="Y84" i="3"/>
  <c r="Y89" i="3"/>
  <c r="Y96" i="3"/>
  <c r="Y52" i="3"/>
  <c r="Y47" i="3"/>
  <c r="Y107" i="3"/>
  <c r="D23" i="6"/>
  <c r="Y94" i="3"/>
  <c r="Y88" i="3"/>
  <c r="Y81" i="3"/>
  <c r="Y65" i="3"/>
  <c r="Y55" i="3"/>
  <c r="Y48" i="3"/>
  <c r="Y104" i="3"/>
  <c r="Y90" i="3"/>
  <c r="Y49" i="3"/>
  <c r="Y57" i="3"/>
  <c r="Y62" i="3"/>
  <c r="Y12" i="3"/>
  <c r="Y76" i="3"/>
  <c r="Y86" i="3"/>
  <c r="Y58" i="3"/>
  <c r="Y111" i="3"/>
  <c r="Y93" i="3"/>
  <c r="Y14" i="3"/>
  <c r="Y67" i="3"/>
  <c r="Y60" i="3"/>
  <c r="Y44" i="3"/>
  <c r="Y24" i="3"/>
  <c r="Y17" i="3"/>
  <c r="Y80" i="3"/>
  <c r="Y83" i="3"/>
  <c r="Y54" i="3"/>
  <c r="Y101" i="3"/>
  <c r="Y40" i="3"/>
  <c r="Y72" i="3"/>
  <c r="Y91" i="3"/>
  <c r="Y53" i="3"/>
  <c r="Y29" i="3"/>
  <c r="Y74" i="3"/>
  <c r="Y95" i="3"/>
  <c r="Y103" i="3"/>
  <c r="Y28" i="3"/>
  <c r="Y63" i="3"/>
  <c r="Y75" i="3"/>
  <c r="Y79" i="3"/>
  <c r="Y110" i="3"/>
  <c r="Y66" i="3"/>
  <c r="Y82" i="3"/>
  <c r="Y102" i="3"/>
  <c r="Y106" i="3"/>
  <c r="Y23" i="3"/>
  <c r="R81" i="7"/>
  <c r="R63" i="7"/>
  <c r="R52" i="7"/>
  <c r="R80" i="7"/>
  <c r="R53" i="7"/>
  <c r="R77" i="7"/>
  <c r="R64" i="7"/>
  <c r="R76" i="7"/>
  <c r="R82" i="7"/>
  <c r="R78" i="7"/>
  <c r="R84" i="7"/>
  <c r="E33" i="6"/>
  <c r="R66" i="7"/>
  <c r="R55" i="7"/>
  <c r="R70" i="7"/>
  <c r="E27" i="7"/>
  <c r="E29" i="7" s="1"/>
  <c r="R75" i="7"/>
  <c r="R74" i="7"/>
  <c r="R65" i="7"/>
  <c r="R69" i="7"/>
  <c r="I27" i="7"/>
  <c r="R61" i="7"/>
  <c r="R68" i="7"/>
  <c r="R60" i="7"/>
  <c r="R79" i="7"/>
  <c r="R51" i="7"/>
  <c r="R58" i="7"/>
  <c r="R48" i="7"/>
  <c r="R73" i="7"/>
  <c r="R72" i="7"/>
  <c r="R67" i="7"/>
  <c r="R50" i="7"/>
  <c r="R49" i="7"/>
  <c r="R46" i="7"/>
  <c r="R57" i="7"/>
  <c r="R59" i="7"/>
  <c r="R83" i="7"/>
  <c r="R71" i="7"/>
  <c r="R56" i="7"/>
  <c r="R54" i="7"/>
  <c r="R62" i="7"/>
  <c r="R44" i="7"/>
  <c r="R45" i="7"/>
  <c r="R47" i="7"/>
  <c r="O63" i="7"/>
  <c r="O57" i="7"/>
  <c r="O72" i="7"/>
  <c r="O58" i="7"/>
  <c r="O77" i="7"/>
  <c r="C27" i="7"/>
  <c r="C29" i="7" s="1"/>
  <c r="O45" i="7"/>
  <c r="O53" i="7"/>
  <c r="O82" i="7"/>
  <c r="G27" i="7"/>
  <c r="O46" i="7"/>
  <c r="O56" i="7"/>
  <c r="O71" i="7"/>
  <c r="O68" i="7"/>
  <c r="O62" i="7"/>
  <c r="O49" i="7"/>
  <c r="O75" i="7"/>
  <c r="O67" i="7"/>
  <c r="O64" i="7"/>
  <c r="C33" i="6"/>
  <c r="O76" i="7"/>
  <c r="O50" i="7"/>
  <c r="O79" i="7"/>
  <c r="O55" i="7"/>
  <c r="O60" i="7"/>
  <c r="O61" i="7"/>
  <c r="O78" i="7"/>
  <c r="O54" i="7"/>
  <c r="O51" i="7"/>
  <c r="O70" i="7"/>
  <c r="O59" i="7"/>
  <c r="O74" i="7"/>
  <c r="O66" i="7"/>
  <c r="O84" i="7"/>
  <c r="O69" i="7"/>
  <c r="O83" i="7"/>
  <c r="O81" i="7"/>
  <c r="O73" i="7"/>
  <c r="O65" i="7"/>
  <c r="O47" i="7"/>
  <c r="O80" i="7"/>
  <c r="O52" i="7"/>
  <c r="O48" i="7"/>
  <c r="O44" i="7"/>
  <c r="B66" i="7" l="1"/>
  <c r="L62" i="7"/>
  <c r="L79" i="7"/>
  <c r="L82" i="7"/>
  <c r="L53" i="7"/>
  <c r="L68" i="7"/>
  <c r="L66" i="7"/>
  <c r="L71" i="7"/>
  <c r="L59" i="7"/>
  <c r="L65" i="7"/>
  <c r="D27" i="7"/>
  <c r="D29" i="7" s="1"/>
  <c r="L73" i="7"/>
  <c r="L47" i="7"/>
  <c r="L72" i="7"/>
  <c r="L60" i="7"/>
  <c r="H27" i="7"/>
  <c r="L46" i="7"/>
  <c r="L77" i="7"/>
  <c r="L75" i="7"/>
  <c r="L51" i="7"/>
  <c r="L69" i="7"/>
  <c r="L49" i="7"/>
  <c r="L55" i="7"/>
  <c r="L57" i="7"/>
  <c r="L58" i="7"/>
  <c r="L50" i="7"/>
  <c r="L84" i="7"/>
  <c r="L78" i="7"/>
  <c r="L67" i="7"/>
  <c r="L45" i="7"/>
  <c r="L83" i="7"/>
  <c r="L74" i="7"/>
  <c r="L81" i="7"/>
  <c r="L48" i="7"/>
  <c r="L63" i="7"/>
  <c r="L64" i="7"/>
  <c r="L61" i="7"/>
  <c r="L76" i="7"/>
  <c r="L52" i="7"/>
  <c r="L54" i="7"/>
  <c r="L44" i="7"/>
  <c r="L56" i="7"/>
  <c r="L80" i="7"/>
  <c r="L70" i="7"/>
  <c r="E34" i="7"/>
  <c r="E32" i="7"/>
  <c r="C34" i="7"/>
  <c r="C32" i="7"/>
  <c r="B92" i="7"/>
  <c r="D32" i="7" l="1"/>
  <c r="D34" i="7"/>
  <c r="B41" i="7"/>
</calcChain>
</file>

<file path=xl/comments1.xml><?xml version="1.0" encoding="utf-8"?>
<comments xmlns="http://schemas.openxmlformats.org/spreadsheetml/2006/main">
  <authors>
    <author>ECP</author>
  </authors>
  <commentList>
    <comment ref="B11" authorId="0">
      <text>
        <r>
          <rPr>
            <b/>
            <sz val="10"/>
            <color rgb="FF000000"/>
            <rFont val="Tahoma"/>
            <family val="2"/>
          </rPr>
          <t xml:space="preserve">NOTA:
</t>
        </r>
        <r>
          <rPr>
            <sz val="10"/>
            <color rgb="FF000000"/>
            <rFont val="Tahoma"/>
            <family val="2"/>
          </rPr>
          <t xml:space="preserve">Este coste es sobre PEM, sin gastos generales ni beneficio industrial. </t>
        </r>
      </text>
    </comment>
    <comment ref="B13" authorId="0">
      <text>
        <r>
          <rPr>
            <b/>
            <sz val="10"/>
            <color rgb="FF000000"/>
            <rFont val="Tahoma"/>
            <family val="2"/>
          </rPr>
          <t>Nota: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Se incluye el precio del solar, gastos documentales (notaría, registro y otros), gastos de adecuación del solar e impuestos (IVA, Transmisiones Patrimoniales y Actos Jurídicos Documentados), etc.</t>
        </r>
      </text>
    </comment>
  </commentList>
</comments>
</file>

<file path=xl/comments2.xml><?xml version="1.0" encoding="utf-8"?>
<comments xmlns="http://schemas.openxmlformats.org/spreadsheetml/2006/main">
  <authors>
    <author>ECP</author>
  </authors>
  <commentList>
    <comment ref="B11" authorId="0">
      <text>
        <r>
          <rPr>
            <b/>
            <sz val="10"/>
            <color rgb="FF000000"/>
            <rFont val="Tahoma"/>
            <family val="2"/>
          </rPr>
          <t xml:space="preserve">NOTA:
</t>
        </r>
        <r>
          <rPr>
            <sz val="10"/>
            <color rgb="FF000000"/>
            <rFont val="Tahoma"/>
            <family val="2"/>
          </rPr>
          <t xml:space="preserve">Este coste es sobre PEM, sin gastos generales ni beneficio industrial. </t>
        </r>
      </text>
    </comment>
  </commentList>
</comments>
</file>

<file path=xl/sharedStrings.xml><?xml version="1.0" encoding="utf-8"?>
<sst xmlns="http://schemas.openxmlformats.org/spreadsheetml/2006/main" count="266" uniqueCount="127">
  <si>
    <t>Años duración</t>
  </si>
  <si>
    <t xml:space="preserve">Dadas las caractísticas de la promoción inmobiliaria que está Ud. pensando en desarrollar y bajo el supuesto de continuidad del actual escenario económico,  </t>
  </si>
  <si>
    <t>normativo y tecnológico, ¿qué margen de beneficio, sobre costes totales, espera obtener con la venta? …………………</t>
  </si>
  <si>
    <t>(en tanto por ciento)</t>
  </si>
  <si>
    <t>Calificación A</t>
  </si>
  <si>
    <t>Calificación</t>
  </si>
  <si>
    <t>Calificación B</t>
  </si>
  <si>
    <t>Calificación C</t>
  </si>
  <si>
    <t>Calificación D</t>
  </si>
  <si>
    <t>(En euros)</t>
  </si>
  <si>
    <t>m2</t>
  </si>
  <si>
    <t>(NOTA: suponga que la construcción se finaliza en un plazo máximo de 2 años. No se incluye en esta partida coste de los terrenos)</t>
  </si>
  <si>
    <t>Costes totales  promoción (terreno + costes PEM + gastos generales)………….</t>
  </si>
  <si>
    <t>Al año de iniciar construcción</t>
  </si>
  <si>
    <t>A los dos años de iniciar la construcción</t>
  </si>
  <si>
    <t>A los tres años de iniciar la construcción</t>
  </si>
  <si>
    <t>A los cuatro años de iniciar la construcción</t>
  </si>
  <si>
    <t>Suma porcentajes ventas</t>
  </si>
  <si>
    <t>(Nota: Rellene las casillas con fondo verde. La suma de porcentajes debe ser el 100%)</t>
  </si>
  <si>
    <t>(Nota: supuesto calificación energénica no afecta al margen de beneficio)</t>
  </si>
  <si>
    <t>Valores referencia para cobros  (supuesto: la  obra se termina en 2 años)</t>
  </si>
  <si>
    <t>Cobros previstos por las ventas de cada período…………………………………………………………………………………..</t>
  </si>
  <si>
    <r>
      <t>¿Qué % del valor de venta de su promoción prevé cobrar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en cada año? (escenario realista)......................................</t>
    </r>
  </si>
  <si>
    <t>Primer año de construcción</t>
  </si>
  <si>
    <t>Segundo año de construcción</t>
  </si>
  <si>
    <t>Ventas sobre plano</t>
  </si>
  <si>
    <t>Vendido sobre plano</t>
  </si>
  <si>
    <t>Pagos previstos para cada período………………………………………………………………………………………….</t>
  </si>
  <si>
    <t>Flujos de caja previstos en cada período…………………………………………………………………………………..</t>
  </si>
  <si>
    <t>Desembolso inicial (terreno)……………………………………………………………………….</t>
  </si>
  <si>
    <t>Cobros por ventas previstas (costes totales + margen)……………………………….</t>
  </si>
  <si>
    <t>Tasa</t>
  </si>
  <si>
    <t>VAN</t>
  </si>
  <si>
    <t>La tasa de descuento se define como el coste de capital de los recursos financieros invertidos en el proyecto</t>
  </si>
  <si>
    <t>Para los escenarios optimista y pesimista se alteran los porcentajes cobrados y la tasa de descuento</t>
  </si>
  <si>
    <t>Teórico</t>
  </si>
  <si>
    <t>A aplicar</t>
  </si>
  <si>
    <t>Control años</t>
  </si>
  <si>
    <t>Duración</t>
  </si>
  <si>
    <t>Porcentaje de ventas cobradas en el escenario pesimista…………………………………………………………….</t>
  </si>
  <si>
    <t>Porcentaje de ventas cobradas en el escenario realista……………………………………………………………………………….</t>
  </si>
  <si>
    <t>Porcentaje de ventas cobradas en el escenario optimista………………………………………………………………………….</t>
  </si>
  <si>
    <t>Al año de iniciar la construcción</t>
  </si>
  <si>
    <t>Flujos de caja correspondientes al escenario realista………………………………………………………………………</t>
  </si>
  <si>
    <t>Flujos de caja correspondientes al escenario optimista…………………………………………………………………..</t>
  </si>
  <si>
    <t>Flujos de caja correspondientes al escenario pesimista……………………………………………………………………</t>
  </si>
  <si>
    <t xml:space="preserve">      + Cobros</t>
  </si>
  <si>
    <t xml:space="preserve">       - Pagos</t>
  </si>
  <si>
    <t>CÁLCULOS SIMULACIONES (ESCENARIO OPTIMISTA)</t>
  </si>
  <si>
    <t>CÁLCULOS SIMULACIONES (ESCENARIO PESIMISTA)</t>
  </si>
  <si>
    <t>Propuesto</t>
  </si>
  <si>
    <t>Pendiente</t>
  </si>
  <si>
    <t>DATOS ESCENARIO OPTIMISTA. Porcentaje de incremento a considerar………..</t>
  </si>
  <si>
    <t>DATOS ESCENARIO PESIMISTA. Porcentaje de decremento a considerar…..</t>
  </si>
  <si>
    <t xml:space="preserve">    Por construcción</t>
  </si>
  <si>
    <t xml:space="preserve">    Por gastos generales</t>
  </si>
  <si>
    <t>(En euros. Se supone que se distribuirán  a lo largo de los años que dure el proyecto)</t>
  </si>
  <si>
    <t>¿Qué % de los gastos generales pagará en cada año del proyecto? …………………………………………………</t>
  </si>
  <si>
    <t>DESEMBOLSO INICIAL TERRENO</t>
  </si>
  <si>
    <t>Metros cuadrados construidos en el proyecto………………..……………….…………..….</t>
  </si>
  <si>
    <t>Coste de los terrenos en los que desarrollará el proyecto……………….………..……</t>
  </si>
  <si>
    <t>Gastos generales imputables al proyecto……………………………………………...………..</t>
  </si>
  <si>
    <t>€ (Dato proyecto inicial no modificable)</t>
  </si>
  <si>
    <t>m2 (Dato proyecto inicial no modificable)</t>
  </si>
  <si>
    <t xml:space="preserve">Dadas las caractísticas de la promoción inmobiliaria que está Ud. pensando en desarrollar, pero con una calificación energética A y bajo el supuesto de continuidad del actual escenario económico,  </t>
  </si>
  <si>
    <t>(en %. Este porcentaje puede diferir del considerado para el proyecto inicial)</t>
  </si>
  <si>
    <t>Inicial</t>
  </si>
  <si>
    <t>Calificacion A</t>
  </si>
  <si>
    <t>Seleccione su calificación energética de partida………………………….…………..…..….</t>
  </si>
  <si>
    <t>Metros cuadrados construidos en el proyecto………………..………………….………..….</t>
  </si>
  <si>
    <t>Coste de los terrenos en los que desarrollará el proyecto…………………..………..……</t>
  </si>
  <si>
    <t>Gastos generales imputables al proyecto…………………………………………...…………..</t>
  </si>
  <si>
    <t>PROYECTO INICIAL</t>
  </si>
  <si>
    <t>PROYECTO CALIFICACIÓN ENERGÉTICA A</t>
  </si>
  <si>
    <t>DATOS ESCENARIO REALISTA</t>
  </si>
  <si>
    <t>Precio por metro cuadrado…………………………………………………………………</t>
  </si>
  <si>
    <t>Costes de construcción (PEM)…………………………………..……………………..</t>
  </si>
  <si>
    <t>Porcentaje de ventas cobradas en el escenario pesimista…………………………...…………………………………….</t>
  </si>
  <si>
    <t>Porcentaje en que estima disminuirán  los cobros de cada período en un escenario pesimista…………………………….………..….</t>
  </si>
  <si>
    <t>Porcentaje en que estima se incrementarán los cobros de cada período en un escenario optimista……………..……………….….</t>
  </si>
  <si>
    <t>Porcentaje en que estima se incrementarán los cobros de cada período en un escenario optimista………………...………….….</t>
  </si>
  <si>
    <t>Proyecto inicial</t>
  </si>
  <si>
    <t>ANÁLISIS COMPARATIVO DEL PROYECTO INICIAL FRENTE AL PROYECTO ALTERNATIVO CON CALIFICACIÓN ENERGÉTICA A</t>
  </si>
  <si>
    <t>Categoría Energética</t>
  </si>
  <si>
    <t>Proyecto allternativo</t>
  </si>
  <si>
    <t>A</t>
  </si>
  <si>
    <t>Coste medio m2 construido (PEM)</t>
  </si>
  <si>
    <t>OPTIMISTA</t>
  </si>
  <si>
    <t>REALISTA</t>
  </si>
  <si>
    <t>PESIMISTA</t>
  </si>
  <si>
    <t>Incremento  coste m2 construido (PEM)</t>
  </si>
  <si>
    <t>Precio de venta medio por  m2</t>
  </si>
  <si>
    <t>Incremento  precio m2 vendido</t>
  </si>
  <si>
    <t>Tasa de descuento a considerar en cada escenario………………….</t>
  </si>
  <si>
    <t>(Indique el coste financiero medio que espera asumir en cada escenario al financiar su proyecto)</t>
  </si>
  <si>
    <t xml:space="preserve">     Para el proyecto con calificación energética A</t>
  </si>
  <si>
    <t>Tasa Interna de Retorno proyectos según escenarios</t>
  </si>
  <si>
    <t>VAN de los proyectos según scenarios</t>
  </si>
  <si>
    <t>ESCENARIOS - PROYECTO CALIFICACIÓN ENERGÉTICA A</t>
  </si>
  <si>
    <t xml:space="preserve">     Variación en el VAN calculado</t>
  </si>
  <si>
    <t xml:space="preserve">     Variación en la TIR calculada</t>
  </si>
  <si>
    <t>&lt;N/D&gt; No disponible por tratarse de un proyecto de inversión no simple con TIR negativa debido al problema de inconsistencia</t>
  </si>
  <si>
    <t>TasaDescuento</t>
  </si>
  <si>
    <t>Realista</t>
  </si>
  <si>
    <t>Optimista</t>
  </si>
  <si>
    <t>Pesimista</t>
  </si>
  <si>
    <t>EVOLUCIÓN COMPARATIVA DEL VAN DE LOS PROYECTOS  SEGÚN ESCENARIOS Y TASAS DE DESCUENTO</t>
  </si>
  <si>
    <t>VAN proyecto inicial</t>
  </si>
  <si>
    <t>VAN proyecto A</t>
  </si>
  <si>
    <t>** Proyecto desarrollado por el Grupo de Investigación Innovación, Sostenibilidad y Desarrollo Empresarial (ISDE) de  la Universidad de Granada con el apoyo del Ministerio de Agricultura, Alimentación y Medio Ambiente a través de la Fundación Biodiversidad</t>
  </si>
  <si>
    <t>http://sustainability.ugr.es/research-output/adaptacion-cambio-climatico/</t>
  </si>
  <si>
    <t>*** Para obtener una orientación sobre el posible incremento de coste de construcción al mejorar la calificación energética de su promoción inmobiliaria a categoría A, asi como algunos paquetes de medidas de adaptación al cambio climático recomendados por expertos  para conseguir este objetivo, visite la sección de "Aplicaciones" en:</t>
  </si>
  <si>
    <t>ATENCIÓN: La información mostrada en esta aplicación está basada en supuestos de partida que podrían ser diferentes a su caso particular. Por favor, tenga en cuenta que se trata de una orientación general y que su caso particular necesitaría un estudio específico al respecto.</t>
  </si>
  <si>
    <t>Se supone que se puede empezar a vender como mucho un año antes de comenzar a construir</t>
  </si>
  <si>
    <r>
      <t>En la pestaña "</t>
    </r>
    <r>
      <rPr>
        <b/>
        <sz val="16"/>
        <color theme="1"/>
        <rFont val="Calibri"/>
        <family val="2"/>
        <scheme val="minor"/>
      </rPr>
      <t>1. Inicial</t>
    </r>
    <r>
      <rPr>
        <sz val="16"/>
        <color theme="1"/>
        <rFont val="Calibri"/>
        <family val="2"/>
        <scheme val="minor"/>
      </rPr>
      <t>" usted deberá introducir los datos del supuesto de partida.</t>
    </r>
  </si>
  <si>
    <t>Se supone que no existen gastos por viviendas a la que se haya subrogado el promotor</t>
  </si>
  <si>
    <t>Ventas sobre plano: se supone que  las ventas sobre plano tienen lugar en el año previo al comienzo de la construcción</t>
  </si>
  <si>
    <r>
      <t>En la pestaña "</t>
    </r>
    <r>
      <rPr>
        <b/>
        <sz val="16"/>
        <color theme="1"/>
        <rFont val="Calibri"/>
        <family val="2"/>
        <scheme val="minor"/>
      </rPr>
      <t>2. Calificación A</t>
    </r>
    <r>
      <rPr>
        <sz val="16"/>
        <color theme="1"/>
        <rFont val="Calibri"/>
        <family val="2"/>
        <scheme val="minor"/>
      </rPr>
      <t>" podrá introducir cambios en los datos de su proyecto original, suponiendo que ha incorporado una serie de medidas de adaptación*** para obtener la calificación energética "A". Podrá modificar el coste de construcción, el margen de beneficio esperado y datos relativos a las previsiones de ventas y cobros durante el desarrollo inmobiliario.</t>
    </r>
  </si>
  <si>
    <r>
      <t>La pestaña "</t>
    </r>
    <r>
      <rPr>
        <b/>
        <sz val="16"/>
        <color theme="1"/>
        <rFont val="Calibri"/>
        <family val="2"/>
        <scheme val="minor"/>
      </rPr>
      <t>4. Comparativa</t>
    </r>
    <r>
      <rPr>
        <sz val="16"/>
        <color theme="1"/>
        <rFont val="Calibri"/>
        <family val="2"/>
        <scheme val="minor"/>
      </rPr>
      <t xml:space="preserve">" le permitirá modificar la tasa de descuento (o coste financiero que usted espera soportar) a utilizar en cada uno de los escenarios propuestos. En base a toda la información introducida, se le mostrará en forma de tabla y de gráfico el VAN y la TIR de su proyecto para el supuesto de partida original y para el caso de mejora de la calificación energética a la categoría "A". </t>
    </r>
  </si>
  <si>
    <t>Indique el coste medio estimado por m2 construido (PEM) ………………………………….</t>
  </si>
  <si>
    <t>¿Qué % del coste estimado de construcción (PEM) desembolsará cada año?</t>
  </si>
  <si>
    <t>¿En cuántos años estima Ud. que habrá vendido la totalidad de la superficie construida?……………………………………..</t>
  </si>
  <si>
    <t>IMPORTANTE: Usted sólo deberá modificar las casillas sombreadas en verde y los desplegables</t>
  </si>
  <si>
    <r>
      <t>Como resultado del proyecto de "</t>
    </r>
    <r>
      <rPr>
        <b/>
        <sz val="16"/>
        <color theme="1"/>
        <rFont val="Calibri"/>
        <family val="2"/>
        <scheme val="minor"/>
      </rPr>
      <t>Adaptación al Cambio Climático en el Sector de la Construcción</t>
    </r>
    <r>
      <rPr>
        <sz val="16"/>
        <color theme="1"/>
        <rFont val="Calibri"/>
        <family val="2"/>
        <scheme val="minor"/>
      </rPr>
      <t xml:space="preserve">"  se ha desarrollado esta aplicación con el objetivo de permitirle </t>
    </r>
    <r>
      <rPr>
        <b/>
        <sz val="16"/>
        <color theme="1"/>
        <rFont val="Calibri"/>
        <family val="2"/>
        <scheme val="minor"/>
      </rPr>
      <t>evaluar la rentabilidad</t>
    </r>
    <r>
      <rPr>
        <sz val="16"/>
        <color theme="1"/>
        <rFont val="Calibri"/>
        <family val="2"/>
        <scheme val="minor"/>
      </rPr>
      <t>, en distintos escenarios, de</t>
    </r>
    <r>
      <rPr>
        <b/>
        <sz val="16"/>
        <color theme="1"/>
        <rFont val="Calibri"/>
        <family val="2"/>
        <scheme val="minor"/>
      </rPr>
      <t xml:space="preserve"> medidas de adaptación al cambio climático en sus proyectos inmobiliarios</t>
    </r>
    <r>
      <rPr>
        <sz val="16"/>
        <color theme="1"/>
        <rFont val="Calibri"/>
        <family val="2"/>
        <scheme val="minor"/>
      </rPr>
      <t>. Usted podrá obtener una aproximación del Valor Actual Neto (VAN) y la Tasa Interna de Retorno (TIR) del proyecto analizado en tres escenarios, optimista, pesimista y realista, asi como una comparación entre el proyecto original (con calificaciones energéticas de partida B, C o D) y el proyecto con calificación energética mejorada a categoría "A".***</t>
    </r>
  </si>
  <si>
    <r>
      <t>La pestaña "</t>
    </r>
    <r>
      <rPr>
        <b/>
        <sz val="16"/>
        <color theme="1"/>
        <rFont val="Calibri"/>
        <family val="2"/>
        <scheme val="minor"/>
      </rPr>
      <t>3.Escenarios</t>
    </r>
    <r>
      <rPr>
        <sz val="16"/>
        <color theme="1"/>
        <rFont val="Calibri"/>
        <family val="2"/>
        <scheme val="minor"/>
      </rPr>
      <t>" le permitirá establecer cómo podría afectar un cambio del escenario económico a sus previsiones de ingresos por ventas. El escenario realista asume que se cumplirán sus previsiones, mientras que los escenarios pesimista y optimista aplicarán una reducción o aumento de los cobros en cada año  respectivamente (asumiendo una venta más o menos rápida de su promoción).</t>
    </r>
  </si>
  <si>
    <t>(NOTA: suponga que la construcción se finaliza en un plazo máximo de 2 años. No se incluye en esta partida el coste de los terrenos)</t>
  </si>
  <si>
    <t xml:space="preserve">http://sustainability.ugr.es/herramienta-de-analisis-coste-beneficio/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</si>
</sst>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%"/>
    <numFmt numFmtId="165" formatCode="#,##0.0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4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2" fillId="2" borderId="0" xfId="0" applyFont="1" applyFill="1"/>
    <xf numFmtId="9" fontId="0" fillId="3" borderId="0" xfId="2" applyFont="1" applyFill="1" applyAlignment="1" applyProtection="1">
      <alignment horizontal="center"/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3" fillId="2" borderId="0" xfId="0" applyFont="1" applyFill="1"/>
    <xf numFmtId="0" fontId="0" fillId="2" borderId="0" xfId="0" applyFill="1" applyAlignment="1">
      <alignment vertical="center"/>
    </xf>
    <xf numFmtId="3" fontId="0" fillId="3" borderId="0" xfId="0" applyNumberFormat="1" applyFill="1" applyAlignment="1" applyProtection="1">
      <alignment horizontal="center" vertical="center"/>
      <protection locked="0"/>
    </xf>
    <xf numFmtId="0" fontId="6" fillId="2" borderId="0" xfId="0" applyFont="1" applyFill="1"/>
    <xf numFmtId="0" fontId="0" fillId="4" borderId="0" xfId="0" applyFill="1" applyAlignment="1">
      <alignment horizontal="center" wrapText="1"/>
    </xf>
    <xf numFmtId="9" fontId="0" fillId="5" borderId="0" xfId="0" applyNumberFormat="1" applyFill="1" applyAlignment="1">
      <alignment horizontal="center"/>
    </xf>
    <xf numFmtId="9" fontId="0" fillId="2" borderId="0" xfId="2" applyFont="1" applyFill="1" applyAlignment="1" applyProtection="1">
      <alignment horizontal="center" wrapText="1"/>
    </xf>
    <xf numFmtId="0" fontId="0" fillId="2" borderId="0" xfId="0" applyFill="1" applyProtection="1"/>
    <xf numFmtId="0" fontId="2" fillId="2" borderId="0" xfId="0" applyFont="1" applyFill="1" applyProtection="1"/>
    <xf numFmtId="0" fontId="6" fillId="2" borderId="0" xfId="0" applyFont="1" applyFill="1" applyProtection="1"/>
    <xf numFmtId="0" fontId="0" fillId="4" borderId="0" xfId="0" applyFill="1" applyAlignment="1" applyProtection="1">
      <alignment horizontal="center" wrapText="1"/>
    </xf>
    <xf numFmtId="0" fontId="0" fillId="4" borderId="0" xfId="0" applyFill="1" applyAlignment="1">
      <alignment horizontal="center" vertical="center" wrapText="1"/>
    </xf>
    <xf numFmtId="9" fontId="0" fillId="2" borderId="0" xfId="2" applyFont="1" applyFill="1" applyAlignment="1" applyProtection="1">
      <alignment horizontal="center" vertical="center" wrapText="1"/>
    </xf>
    <xf numFmtId="0" fontId="8" fillId="2" borderId="0" xfId="0" applyFont="1" applyFill="1"/>
    <xf numFmtId="165" fontId="8" fillId="2" borderId="0" xfId="0" applyNumberFormat="1" applyFont="1" applyFill="1"/>
    <xf numFmtId="0" fontId="9" fillId="2" borderId="0" xfId="0" applyFont="1" applyFill="1"/>
    <xf numFmtId="165" fontId="9" fillId="2" borderId="0" xfId="0" applyNumberFormat="1" applyFont="1" applyFill="1"/>
    <xf numFmtId="164" fontId="0" fillId="2" borderId="0" xfId="0" applyNumberFormat="1" applyFill="1" applyAlignment="1">
      <alignment horizontal="center"/>
    </xf>
    <xf numFmtId="164" fontId="0" fillId="2" borderId="0" xfId="2" applyNumberFormat="1" applyFont="1" applyFill="1" applyAlignment="1" applyProtection="1">
      <alignment horizontal="center"/>
    </xf>
    <xf numFmtId="165" fontId="0" fillId="2" borderId="0" xfId="0" applyNumberFormat="1" applyFill="1"/>
    <xf numFmtId="0" fontId="0" fillId="5" borderId="0" xfId="0" applyFill="1"/>
    <xf numFmtId="3" fontId="0" fillId="5" borderId="0" xfId="0" applyNumberFormat="1" applyFill="1"/>
    <xf numFmtId="165" fontId="0" fillId="5" borderId="0" xfId="0" applyNumberFormat="1" applyFill="1"/>
    <xf numFmtId="9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/>
    <xf numFmtId="9" fontId="10" fillId="2" borderId="0" xfId="0" applyNumberFormat="1" applyFont="1" applyFill="1"/>
    <xf numFmtId="3" fontId="0" fillId="2" borderId="0" xfId="0" applyNumberFormat="1" applyFill="1" applyAlignment="1">
      <alignment vertical="center"/>
    </xf>
    <xf numFmtId="0" fontId="12" fillId="6" borderId="0" xfId="0" applyFont="1" applyFill="1"/>
    <xf numFmtId="0" fontId="10" fillId="6" borderId="0" xfId="0" applyFont="1" applyFill="1"/>
    <xf numFmtId="9" fontId="0" fillId="3" borderId="0" xfId="2" applyFont="1" applyFill="1" applyAlignment="1" applyProtection="1">
      <alignment horizontal="center" vertical="center"/>
      <protection locked="0"/>
    </xf>
    <xf numFmtId="0" fontId="10" fillId="2" borderId="0" xfId="0" applyFont="1" applyFill="1"/>
    <xf numFmtId="0" fontId="13" fillId="6" borderId="0" xfId="0" applyFont="1" applyFill="1"/>
    <xf numFmtId="0" fontId="10" fillId="6" borderId="0" xfId="0" applyFont="1" applyFill="1" applyProtection="1"/>
    <xf numFmtId="10" fontId="0" fillId="2" borderId="0" xfId="2" applyNumberFormat="1" applyFont="1" applyFill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0" fontId="0" fillId="2" borderId="1" xfId="2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/>
    </xf>
    <xf numFmtId="10" fontId="0" fillId="3" borderId="0" xfId="2" applyNumberFormat="1" applyFont="1" applyFill="1" applyAlignment="1" applyProtection="1">
      <alignment horizontal="center"/>
      <protection locked="0"/>
    </xf>
    <xf numFmtId="0" fontId="0" fillId="8" borderId="0" xfId="0" applyFill="1" applyAlignment="1">
      <alignment horizontal="center"/>
    </xf>
    <xf numFmtId="0" fontId="7" fillId="2" borderId="0" xfId="0" applyFont="1" applyFill="1"/>
    <xf numFmtId="165" fontId="0" fillId="2" borderId="0" xfId="0" applyNumberFormat="1" applyFill="1" applyAlignment="1">
      <alignment horizontal="center" vertical="center"/>
    </xf>
    <xf numFmtId="164" fontId="0" fillId="2" borderId="0" xfId="2" applyNumberFormat="1" applyFont="1" applyFill="1" applyAlignment="1">
      <alignment horizontal="center" vertical="center"/>
    </xf>
    <xf numFmtId="0" fontId="7" fillId="9" borderId="0" xfId="0" applyFont="1" applyFill="1"/>
    <xf numFmtId="10" fontId="0" fillId="2" borderId="0" xfId="0" applyNumberFormat="1" applyFill="1" applyAlignment="1">
      <alignment horizontal="center"/>
    </xf>
    <xf numFmtId="0" fontId="15" fillId="2" borderId="0" xfId="0" applyFont="1" applyFill="1"/>
    <xf numFmtId="10" fontId="10" fillId="2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center"/>
    </xf>
    <xf numFmtId="164" fontId="0" fillId="2" borderId="0" xfId="0" applyNumberFormat="1" applyFill="1"/>
    <xf numFmtId="0" fontId="14" fillId="2" borderId="0" xfId="0" applyFont="1" applyFill="1"/>
    <xf numFmtId="0" fontId="10" fillId="2" borderId="0" xfId="0" applyFont="1" applyFill="1" applyAlignment="1">
      <alignment horizontal="center"/>
    </xf>
    <xf numFmtId="10" fontId="10" fillId="2" borderId="0" xfId="2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 vertical="center"/>
    </xf>
    <xf numFmtId="0" fontId="0" fillId="7" borderId="0" xfId="0" applyFill="1"/>
    <xf numFmtId="0" fontId="16" fillId="2" borderId="0" xfId="0" applyFont="1" applyFill="1"/>
    <xf numFmtId="0" fontId="17" fillId="2" borderId="0" xfId="0" applyFont="1" applyFill="1"/>
    <xf numFmtId="0" fontId="17" fillId="7" borderId="0" xfId="0" applyFont="1" applyFill="1"/>
    <xf numFmtId="0" fontId="16" fillId="2" borderId="0" xfId="0" applyFont="1" applyFill="1" applyAlignment="1">
      <alignment wrapText="1"/>
    </xf>
    <xf numFmtId="0" fontId="0" fillId="2" borderId="3" xfId="0" applyFill="1" applyBorder="1"/>
    <xf numFmtId="0" fontId="18" fillId="2" borderId="0" xfId="3" applyFill="1"/>
    <xf numFmtId="0" fontId="16" fillId="2" borderId="4" xfId="0" applyFont="1" applyFill="1" applyBorder="1" applyAlignment="1">
      <alignment wrapText="1"/>
    </xf>
    <xf numFmtId="0" fontId="16" fillId="3" borderId="6" xfId="0" applyFont="1" applyFill="1" applyBorder="1"/>
    <xf numFmtId="0" fontId="16" fillId="3" borderId="5" xfId="0" applyFont="1" applyFill="1" applyBorder="1" applyAlignment="1">
      <alignment wrapText="1"/>
    </xf>
    <xf numFmtId="0" fontId="0" fillId="7" borderId="5" xfId="0" applyFill="1" applyBorder="1"/>
    <xf numFmtId="0" fontId="16" fillId="3" borderId="7" xfId="0" applyFont="1" applyFill="1" applyBorder="1" applyAlignment="1">
      <alignment wrapText="1"/>
    </xf>
    <xf numFmtId="0" fontId="21" fillId="9" borderId="8" xfId="0" applyFont="1" applyFill="1" applyBorder="1" applyAlignment="1">
      <alignment horizontal="center"/>
    </xf>
    <xf numFmtId="0" fontId="20" fillId="10" borderId="2" xfId="0" applyFont="1" applyFill="1" applyBorder="1" applyAlignment="1">
      <alignment wrapText="1"/>
    </xf>
    <xf numFmtId="0" fontId="19" fillId="2" borderId="0" xfId="3" applyFont="1" applyFill="1" applyAlignment="1" applyProtection="1">
      <alignment wrapText="1"/>
      <protection locked="0"/>
    </xf>
    <xf numFmtId="0" fontId="17" fillId="2" borderId="0" xfId="0" applyFont="1" applyFill="1" applyProtection="1">
      <protection locked="0"/>
    </xf>
    <xf numFmtId="0" fontId="18" fillId="2" borderId="0" xfId="3" applyFill="1" applyAlignment="1" applyProtection="1">
      <alignment vertical="center"/>
      <protection locked="0"/>
    </xf>
    <xf numFmtId="0" fontId="18" fillId="2" borderId="0" xfId="3" applyFill="1" applyAlignment="1" applyProtection="1">
      <alignment vertical="center"/>
    </xf>
    <xf numFmtId="0" fontId="10" fillId="2" borderId="0" xfId="0" applyFont="1" applyFill="1" applyBorder="1" applyProtection="1"/>
    <xf numFmtId="164" fontId="10" fillId="2" borderId="0" xfId="2" applyNumberFormat="1" applyFont="1" applyFill="1" applyBorder="1" applyAlignment="1" applyProtection="1">
      <alignment horizontal="center" wrapText="1"/>
    </xf>
    <xf numFmtId="3" fontId="10" fillId="2" borderId="0" xfId="0" applyNumberFormat="1" applyFont="1" applyFill="1" applyBorder="1" applyAlignment="1" applyProtection="1">
      <alignment horizontal="center" wrapText="1"/>
    </xf>
    <xf numFmtId="9" fontId="10" fillId="2" borderId="0" xfId="2" applyFont="1" applyFill="1" applyBorder="1" applyProtection="1"/>
    <xf numFmtId="0" fontId="10" fillId="2" borderId="0" xfId="0" applyFont="1" applyFill="1" applyBorder="1" applyAlignment="1" applyProtection="1">
      <alignment horizontal="center" wrapText="1"/>
    </xf>
    <xf numFmtId="9" fontId="10" fillId="2" borderId="0" xfId="2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9" fontId="10" fillId="2" borderId="0" xfId="0" applyNumberFormat="1" applyFont="1" applyFill="1" applyBorder="1" applyAlignment="1" applyProtection="1">
      <alignment horizontal="center"/>
    </xf>
    <xf numFmtId="3" fontId="10" fillId="2" borderId="0" xfId="1" applyNumberFormat="1" applyFont="1" applyFill="1" applyBorder="1" applyProtection="1"/>
    <xf numFmtId="0" fontId="11" fillId="2" borderId="0" xfId="0" applyFont="1" applyFill="1" applyBorder="1" applyProtection="1"/>
    <xf numFmtId="165" fontId="10" fillId="2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>
      <protection locked="0"/>
    </xf>
    <xf numFmtId="0" fontId="22" fillId="2" borderId="0" xfId="0" applyFont="1" applyFill="1" applyBorder="1" applyProtection="1"/>
    <xf numFmtId="9" fontId="10" fillId="2" borderId="0" xfId="2" applyFont="1" applyFill="1" applyBorder="1" applyAlignment="1" applyProtection="1">
      <alignment horizontal="center" wrapText="1"/>
    </xf>
    <xf numFmtId="165" fontId="10" fillId="2" borderId="0" xfId="0" applyNumberFormat="1" applyFont="1" applyFill="1" applyBorder="1" applyAlignment="1" applyProtection="1">
      <alignment horizontal="right"/>
    </xf>
    <xf numFmtId="165" fontId="10" fillId="2" borderId="0" xfId="0" applyNumberFormat="1" applyFont="1" applyFill="1" applyBorder="1" applyProtection="1"/>
    <xf numFmtId="16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Alignment="1" applyProtection="1">
      <alignment horizontal="right"/>
    </xf>
    <xf numFmtId="3" fontId="10" fillId="2" borderId="0" xfId="0" applyNumberFormat="1" applyFont="1" applyFill="1" applyBorder="1" applyProtection="1"/>
    <xf numFmtId="0" fontId="10" fillId="2" borderId="0" xfId="0" applyFont="1" applyFill="1" applyBorder="1" applyAlignment="1">
      <alignment horizontal="center" wrapText="1"/>
    </xf>
    <xf numFmtId="164" fontId="10" fillId="2" borderId="0" xfId="0" applyNumberFormat="1" applyFont="1" applyFill="1" applyBorder="1" applyAlignment="1" applyProtection="1">
      <alignment horizontal="center"/>
    </xf>
    <xf numFmtId="164" fontId="10" fillId="2" borderId="0" xfId="2" applyNumberFormat="1" applyFont="1" applyFill="1" applyBorder="1" applyAlignment="1" applyProtection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8"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VAN</a:t>
            </a:r>
            <a:r>
              <a:rPr lang="es-ES_tradnl" baseline="0"/>
              <a:t> en escenario Realista</a:t>
            </a:r>
            <a:endParaRPr lang="es-ES_tradnl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306918809914738"/>
          <c:y val="0.1217124347541766"/>
          <c:w val="0.85348575449541397"/>
          <c:h val="0.825663296486311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'4. Comparativa'!$L$43</c:f>
              <c:strCache>
                <c:ptCount val="1"/>
                <c:pt idx="0">
                  <c:v>VAN proyecto inicial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'4. Comparativa'!$K$44:$K$84</c:f>
              <c:numCache>
                <c:formatCode>0.00%</c:formatCode>
                <c:ptCount val="41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  <c:pt idx="5">
                  <c:v>1.2500000000000001E-2</c:v>
                </c:pt>
                <c:pt idx="6">
                  <c:v>1.5000000000000001E-2</c:v>
                </c:pt>
                <c:pt idx="7">
                  <c:v>1.7500000000000002E-2</c:v>
                </c:pt>
                <c:pt idx="8">
                  <c:v>0.02</c:v>
                </c:pt>
                <c:pt idx="9">
                  <c:v>2.2499999999999999E-2</c:v>
                </c:pt>
                <c:pt idx="10">
                  <c:v>2.4999999999999998E-2</c:v>
                </c:pt>
                <c:pt idx="11">
                  <c:v>2.7499999999999997E-2</c:v>
                </c:pt>
                <c:pt idx="12">
                  <c:v>2.9999999999999995E-2</c:v>
                </c:pt>
                <c:pt idx="13">
                  <c:v>3.2499999999999994E-2</c:v>
                </c:pt>
                <c:pt idx="14">
                  <c:v>3.4999999999999996E-2</c:v>
                </c:pt>
                <c:pt idx="15">
                  <c:v>3.7499999999999999E-2</c:v>
                </c:pt>
                <c:pt idx="16">
                  <c:v>0.04</c:v>
                </c:pt>
                <c:pt idx="17">
                  <c:v>4.2500000000000003E-2</c:v>
                </c:pt>
                <c:pt idx="18">
                  <c:v>4.5000000000000005E-2</c:v>
                </c:pt>
                <c:pt idx="19">
                  <c:v>4.7500000000000007E-2</c:v>
                </c:pt>
                <c:pt idx="20">
                  <c:v>5.000000000000001E-2</c:v>
                </c:pt>
                <c:pt idx="21">
                  <c:v>5.2500000000000012E-2</c:v>
                </c:pt>
                <c:pt idx="22">
                  <c:v>5.5000000000000014E-2</c:v>
                </c:pt>
                <c:pt idx="23">
                  <c:v>5.7500000000000016E-2</c:v>
                </c:pt>
                <c:pt idx="24">
                  <c:v>6.0000000000000019E-2</c:v>
                </c:pt>
                <c:pt idx="25">
                  <c:v>6.2500000000000014E-2</c:v>
                </c:pt>
                <c:pt idx="26">
                  <c:v>6.5000000000000016E-2</c:v>
                </c:pt>
                <c:pt idx="27">
                  <c:v>6.7500000000000018E-2</c:v>
                </c:pt>
                <c:pt idx="28">
                  <c:v>7.0000000000000021E-2</c:v>
                </c:pt>
                <c:pt idx="29">
                  <c:v>7.2500000000000023E-2</c:v>
                </c:pt>
                <c:pt idx="30">
                  <c:v>7.5000000000000025E-2</c:v>
                </c:pt>
                <c:pt idx="31">
                  <c:v>7.7500000000000027E-2</c:v>
                </c:pt>
                <c:pt idx="32">
                  <c:v>8.0000000000000029E-2</c:v>
                </c:pt>
                <c:pt idx="33">
                  <c:v>8.2500000000000032E-2</c:v>
                </c:pt>
                <c:pt idx="34">
                  <c:v>8.5000000000000034E-2</c:v>
                </c:pt>
                <c:pt idx="35">
                  <c:v>8.7500000000000036E-2</c:v>
                </c:pt>
                <c:pt idx="36">
                  <c:v>9.0000000000000038E-2</c:v>
                </c:pt>
                <c:pt idx="37">
                  <c:v>9.2500000000000041E-2</c:v>
                </c:pt>
                <c:pt idx="38">
                  <c:v>9.5000000000000043E-2</c:v>
                </c:pt>
                <c:pt idx="39">
                  <c:v>9.7500000000000045E-2</c:v>
                </c:pt>
                <c:pt idx="40">
                  <c:v>0.10000000000000005</c:v>
                </c:pt>
              </c:numCache>
            </c:numRef>
          </c:xVal>
          <c:yVal>
            <c:numRef>
              <c:f>'4. Comparativa'!$L$44:$L$84</c:f>
              <c:numCache>
                <c:formatCode>#,##0.0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23-3041-A58E-1DD9A92318EE}"/>
            </c:ext>
          </c:extLst>
        </c:ser>
        <c:ser>
          <c:idx val="1"/>
          <c:order val="1"/>
          <c:tx>
            <c:strRef>
              <c:f>'4. Comparativa'!$M$43</c:f>
              <c:strCache>
                <c:ptCount val="1"/>
                <c:pt idx="0">
                  <c:v>VAN proyecto 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'4. Comparativa'!$K$44:$K$84</c:f>
              <c:numCache>
                <c:formatCode>0.00%</c:formatCode>
                <c:ptCount val="41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  <c:pt idx="5">
                  <c:v>1.2500000000000001E-2</c:v>
                </c:pt>
                <c:pt idx="6">
                  <c:v>1.5000000000000001E-2</c:v>
                </c:pt>
                <c:pt idx="7">
                  <c:v>1.7500000000000002E-2</c:v>
                </c:pt>
                <c:pt idx="8">
                  <c:v>0.02</c:v>
                </c:pt>
                <c:pt idx="9">
                  <c:v>2.2499999999999999E-2</c:v>
                </c:pt>
                <c:pt idx="10">
                  <c:v>2.4999999999999998E-2</c:v>
                </c:pt>
                <c:pt idx="11">
                  <c:v>2.7499999999999997E-2</c:v>
                </c:pt>
                <c:pt idx="12">
                  <c:v>2.9999999999999995E-2</c:v>
                </c:pt>
                <c:pt idx="13">
                  <c:v>3.2499999999999994E-2</c:v>
                </c:pt>
                <c:pt idx="14">
                  <c:v>3.4999999999999996E-2</c:v>
                </c:pt>
                <c:pt idx="15">
                  <c:v>3.7499999999999999E-2</c:v>
                </c:pt>
                <c:pt idx="16">
                  <c:v>0.04</c:v>
                </c:pt>
                <c:pt idx="17">
                  <c:v>4.2500000000000003E-2</c:v>
                </c:pt>
                <c:pt idx="18">
                  <c:v>4.5000000000000005E-2</c:v>
                </c:pt>
                <c:pt idx="19">
                  <c:v>4.7500000000000007E-2</c:v>
                </c:pt>
                <c:pt idx="20">
                  <c:v>5.000000000000001E-2</c:v>
                </c:pt>
                <c:pt idx="21">
                  <c:v>5.2500000000000012E-2</c:v>
                </c:pt>
                <c:pt idx="22">
                  <c:v>5.5000000000000014E-2</c:v>
                </c:pt>
                <c:pt idx="23">
                  <c:v>5.7500000000000016E-2</c:v>
                </c:pt>
                <c:pt idx="24">
                  <c:v>6.0000000000000019E-2</c:v>
                </c:pt>
                <c:pt idx="25">
                  <c:v>6.2500000000000014E-2</c:v>
                </c:pt>
                <c:pt idx="26">
                  <c:v>6.5000000000000016E-2</c:v>
                </c:pt>
                <c:pt idx="27">
                  <c:v>6.7500000000000018E-2</c:v>
                </c:pt>
                <c:pt idx="28">
                  <c:v>7.0000000000000021E-2</c:v>
                </c:pt>
                <c:pt idx="29">
                  <c:v>7.2500000000000023E-2</c:v>
                </c:pt>
                <c:pt idx="30">
                  <c:v>7.5000000000000025E-2</c:v>
                </c:pt>
                <c:pt idx="31">
                  <c:v>7.7500000000000027E-2</c:v>
                </c:pt>
                <c:pt idx="32">
                  <c:v>8.0000000000000029E-2</c:v>
                </c:pt>
                <c:pt idx="33">
                  <c:v>8.2500000000000032E-2</c:v>
                </c:pt>
                <c:pt idx="34">
                  <c:v>8.5000000000000034E-2</c:v>
                </c:pt>
                <c:pt idx="35">
                  <c:v>8.7500000000000036E-2</c:v>
                </c:pt>
                <c:pt idx="36">
                  <c:v>9.0000000000000038E-2</c:v>
                </c:pt>
                <c:pt idx="37">
                  <c:v>9.2500000000000041E-2</c:v>
                </c:pt>
                <c:pt idx="38">
                  <c:v>9.5000000000000043E-2</c:v>
                </c:pt>
                <c:pt idx="39">
                  <c:v>9.7500000000000045E-2</c:v>
                </c:pt>
                <c:pt idx="40">
                  <c:v>0.10000000000000005</c:v>
                </c:pt>
              </c:numCache>
            </c:numRef>
          </c:xVal>
          <c:yVal>
            <c:numRef>
              <c:f>'4. Comparativa'!$M$44:$M$84</c:f>
              <c:numCache>
                <c:formatCode>#,##0.0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23-3041-A58E-1DD9A9231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40384"/>
        <c:axId val="102550144"/>
      </c:scatterChart>
      <c:valAx>
        <c:axId val="94640384"/>
        <c:scaling>
          <c:orientation val="minMax"/>
          <c:max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550144"/>
        <c:crosses val="autoZero"/>
        <c:crossBetween val="midCat"/>
      </c:valAx>
      <c:valAx>
        <c:axId val="10255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4640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" l="0" r="0" t="0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VAN</a:t>
            </a:r>
            <a:r>
              <a:rPr lang="es-ES_tradnl" baseline="0"/>
              <a:t> en escenario Optimista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'4. Comparativa'!$O$43</c:f>
              <c:strCache>
                <c:ptCount val="1"/>
                <c:pt idx="0">
                  <c:v>VAN proyecto inicial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'4. Comparativa'!$N$44:$N$84</c:f>
              <c:numCache>
                <c:formatCode>0.00%</c:formatCode>
                <c:ptCount val="41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  <c:pt idx="5">
                  <c:v>1.2500000000000001E-2</c:v>
                </c:pt>
                <c:pt idx="6">
                  <c:v>1.5000000000000001E-2</c:v>
                </c:pt>
                <c:pt idx="7">
                  <c:v>1.7500000000000002E-2</c:v>
                </c:pt>
                <c:pt idx="8">
                  <c:v>0.02</c:v>
                </c:pt>
                <c:pt idx="9">
                  <c:v>2.2499999999999999E-2</c:v>
                </c:pt>
                <c:pt idx="10">
                  <c:v>2.4999999999999998E-2</c:v>
                </c:pt>
                <c:pt idx="11">
                  <c:v>2.7499999999999997E-2</c:v>
                </c:pt>
                <c:pt idx="12">
                  <c:v>2.9999999999999995E-2</c:v>
                </c:pt>
                <c:pt idx="13">
                  <c:v>3.2499999999999994E-2</c:v>
                </c:pt>
                <c:pt idx="14">
                  <c:v>3.4999999999999996E-2</c:v>
                </c:pt>
                <c:pt idx="15">
                  <c:v>3.7499999999999999E-2</c:v>
                </c:pt>
                <c:pt idx="16">
                  <c:v>0.04</c:v>
                </c:pt>
                <c:pt idx="17">
                  <c:v>4.2500000000000003E-2</c:v>
                </c:pt>
                <c:pt idx="18">
                  <c:v>4.5000000000000005E-2</c:v>
                </c:pt>
                <c:pt idx="19">
                  <c:v>4.7500000000000007E-2</c:v>
                </c:pt>
                <c:pt idx="20">
                  <c:v>5.000000000000001E-2</c:v>
                </c:pt>
                <c:pt idx="21">
                  <c:v>5.2500000000000012E-2</c:v>
                </c:pt>
                <c:pt idx="22">
                  <c:v>5.5000000000000014E-2</c:v>
                </c:pt>
                <c:pt idx="23">
                  <c:v>5.7500000000000016E-2</c:v>
                </c:pt>
                <c:pt idx="24">
                  <c:v>6.0000000000000019E-2</c:v>
                </c:pt>
                <c:pt idx="25">
                  <c:v>6.2500000000000014E-2</c:v>
                </c:pt>
                <c:pt idx="26">
                  <c:v>6.5000000000000016E-2</c:v>
                </c:pt>
                <c:pt idx="27">
                  <c:v>6.7500000000000018E-2</c:v>
                </c:pt>
                <c:pt idx="28">
                  <c:v>7.0000000000000021E-2</c:v>
                </c:pt>
                <c:pt idx="29">
                  <c:v>7.2500000000000023E-2</c:v>
                </c:pt>
                <c:pt idx="30">
                  <c:v>7.5000000000000025E-2</c:v>
                </c:pt>
                <c:pt idx="31">
                  <c:v>7.7500000000000027E-2</c:v>
                </c:pt>
                <c:pt idx="32">
                  <c:v>8.0000000000000029E-2</c:v>
                </c:pt>
                <c:pt idx="33">
                  <c:v>8.2500000000000032E-2</c:v>
                </c:pt>
                <c:pt idx="34">
                  <c:v>8.5000000000000034E-2</c:v>
                </c:pt>
                <c:pt idx="35">
                  <c:v>8.7500000000000036E-2</c:v>
                </c:pt>
                <c:pt idx="36">
                  <c:v>9.0000000000000038E-2</c:v>
                </c:pt>
                <c:pt idx="37">
                  <c:v>9.2500000000000041E-2</c:v>
                </c:pt>
                <c:pt idx="38">
                  <c:v>9.5000000000000043E-2</c:v>
                </c:pt>
                <c:pt idx="39">
                  <c:v>9.7500000000000045E-2</c:v>
                </c:pt>
                <c:pt idx="40">
                  <c:v>0.10000000000000005</c:v>
                </c:pt>
              </c:numCache>
            </c:numRef>
          </c:xVal>
          <c:yVal>
            <c:numRef>
              <c:f>'4. Comparativa'!$O$44:$O$84</c:f>
              <c:numCache>
                <c:formatCode>#,##0.0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1A-144C-B02B-A0C61AEB7D62}"/>
            </c:ext>
          </c:extLst>
        </c:ser>
        <c:ser>
          <c:idx val="1"/>
          <c:order val="1"/>
          <c:tx>
            <c:strRef>
              <c:f>'4. Comparativa'!$P$43</c:f>
              <c:strCache>
                <c:ptCount val="1"/>
                <c:pt idx="0">
                  <c:v>VAN proyecto 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'4. Comparativa'!$N$44:$N$84</c:f>
              <c:numCache>
                <c:formatCode>0.00%</c:formatCode>
                <c:ptCount val="41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  <c:pt idx="5">
                  <c:v>1.2500000000000001E-2</c:v>
                </c:pt>
                <c:pt idx="6">
                  <c:v>1.5000000000000001E-2</c:v>
                </c:pt>
                <c:pt idx="7">
                  <c:v>1.7500000000000002E-2</c:v>
                </c:pt>
                <c:pt idx="8">
                  <c:v>0.02</c:v>
                </c:pt>
                <c:pt idx="9">
                  <c:v>2.2499999999999999E-2</c:v>
                </c:pt>
                <c:pt idx="10">
                  <c:v>2.4999999999999998E-2</c:v>
                </c:pt>
                <c:pt idx="11">
                  <c:v>2.7499999999999997E-2</c:v>
                </c:pt>
                <c:pt idx="12">
                  <c:v>2.9999999999999995E-2</c:v>
                </c:pt>
                <c:pt idx="13">
                  <c:v>3.2499999999999994E-2</c:v>
                </c:pt>
                <c:pt idx="14">
                  <c:v>3.4999999999999996E-2</c:v>
                </c:pt>
                <c:pt idx="15">
                  <c:v>3.7499999999999999E-2</c:v>
                </c:pt>
                <c:pt idx="16">
                  <c:v>0.04</c:v>
                </c:pt>
                <c:pt idx="17">
                  <c:v>4.2500000000000003E-2</c:v>
                </c:pt>
                <c:pt idx="18">
                  <c:v>4.5000000000000005E-2</c:v>
                </c:pt>
                <c:pt idx="19">
                  <c:v>4.7500000000000007E-2</c:v>
                </c:pt>
                <c:pt idx="20">
                  <c:v>5.000000000000001E-2</c:v>
                </c:pt>
                <c:pt idx="21">
                  <c:v>5.2500000000000012E-2</c:v>
                </c:pt>
                <c:pt idx="22">
                  <c:v>5.5000000000000014E-2</c:v>
                </c:pt>
                <c:pt idx="23">
                  <c:v>5.7500000000000016E-2</c:v>
                </c:pt>
                <c:pt idx="24">
                  <c:v>6.0000000000000019E-2</c:v>
                </c:pt>
                <c:pt idx="25">
                  <c:v>6.2500000000000014E-2</c:v>
                </c:pt>
                <c:pt idx="26">
                  <c:v>6.5000000000000016E-2</c:v>
                </c:pt>
                <c:pt idx="27">
                  <c:v>6.7500000000000018E-2</c:v>
                </c:pt>
                <c:pt idx="28">
                  <c:v>7.0000000000000021E-2</c:v>
                </c:pt>
                <c:pt idx="29">
                  <c:v>7.2500000000000023E-2</c:v>
                </c:pt>
                <c:pt idx="30">
                  <c:v>7.5000000000000025E-2</c:v>
                </c:pt>
                <c:pt idx="31">
                  <c:v>7.7500000000000027E-2</c:v>
                </c:pt>
                <c:pt idx="32">
                  <c:v>8.0000000000000029E-2</c:v>
                </c:pt>
                <c:pt idx="33">
                  <c:v>8.2500000000000032E-2</c:v>
                </c:pt>
                <c:pt idx="34">
                  <c:v>8.5000000000000034E-2</c:v>
                </c:pt>
                <c:pt idx="35">
                  <c:v>8.7500000000000036E-2</c:v>
                </c:pt>
                <c:pt idx="36">
                  <c:v>9.0000000000000038E-2</c:v>
                </c:pt>
                <c:pt idx="37">
                  <c:v>9.2500000000000041E-2</c:v>
                </c:pt>
                <c:pt idx="38">
                  <c:v>9.5000000000000043E-2</c:v>
                </c:pt>
                <c:pt idx="39">
                  <c:v>9.7500000000000045E-2</c:v>
                </c:pt>
                <c:pt idx="40">
                  <c:v>0.10000000000000005</c:v>
                </c:pt>
              </c:numCache>
            </c:numRef>
          </c:xVal>
          <c:yVal>
            <c:numRef>
              <c:f>'4. Comparativa'!$P$44:$P$84</c:f>
              <c:numCache>
                <c:formatCode>#,##0.0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1A-144C-B02B-A0C61AEB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22752"/>
        <c:axId val="42925440"/>
      </c:scatterChart>
      <c:valAx>
        <c:axId val="42922752"/>
        <c:scaling>
          <c:orientation val="minMax"/>
          <c:max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25440"/>
        <c:crosses val="autoZero"/>
        <c:crossBetween val="midCat"/>
      </c:valAx>
      <c:valAx>
        <c:axId val="4292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22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" l="0" r="0" t="0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VAN en escenario pesimista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471463073236246"/>
          <c:y val="0.11455076892585839"/>
          <c:w val="0.84212600813044569"/>
          <c:h val="0.87067905338734775"/>
        </c:manualLayout>
      </c:layout>
      <c:scatterChart>
        <c:scatterStyle val="lineMarker"/>
        <c:varyColors val="0"/>
        <c:ser>
          <c:idx val="0"/>
          <c:order val="0"/>
          <c:tx>
            <c:strRef>
              <c:f>'4. Comparativa'!$R$43</c:f>
              <c:strCache>
                <c:ptCount val="1"/>
                <c:pt idx="0">
                  <c:v>VAN proyecto inicial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'4. Comparativa'!$Q$44:$Q$84</c:f>
              <c:numCache>
                <c:formatCode>0.00%</c:formatCode>
                <c:ptCount val="41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  <c:pt idx="5">
                  <c:v>1.2500000000000001E-2</c:v>
                </c:pt>
                <c:pt idx="6">
                  <c:v>1.5000000000000001E-2</c:v>
                </c:pt>
                <c:pt idx="7">
                  <c:v>1.7500000000000002E-2</c:v>
                </c:pt>
                <c:pt idx="8">
                  <c:v>0.02</c:v>
                </c:pt>
                <c:pt idx="9">
                  <c:v>2.2499999999999999E-2</c:v>
                </c:pt>
                <c:pt idx="10">
                  <c:v>2.4999999999999998E-2</c:v>
                </c:pt>
                <c:pt idx="11">
                  <c:v>2.7499999999999997E-2</c:v>
                </c:pt>
                <c:pt idx="12">
                  <c:v>2.9999999999999995E-2</c:v>
                </c:pt>
                <c:pt idx="13">
                  <c:v>3.2499999999999994E-2</c:v>
                </c:pt>
                <c:pt idx="14">
                  <c:v>3.4999999999999996E-2</c:v>
                </c:pt>
                <c:pt idx="15">
                  <c:v>3.7499999999999999E-2</c:v>
                </c:pt>
                <c:pt idx="16">
                  <c:v>0.04</c:v>
                </c:pt>
                <c:pt idx="17">
                  <c:v>4.2500000000000003E-2</c:v>
                </c:pt>
                <c:pt idx="18">
                  <c:v>4.5000000000000005E-2</c:v>
                </c:pt>
                <c:pt idx="19">
                  <c:v>4.7500000000000007E-2</c:v>
                </c:pt>
                <c:pt idx="20">
                  <c:v>5.000000000000001E-2</c:v>
                </c:pt>
                <c:pt idx="21">
                  <c:v>5.2500000000000012E-2</c:v>
                </c:pt>
                <c:pt idx="22">
                  <c:v>5.5000000000000014E-2</c:v>
                </c:pt>
                <c:pt idx="23">
                  <c:v>5.7500000000000016E-2</c:v>
                </c:pt>
                <c:pt idx="24">
                  <c:v>6.0000000000000019E-2</c:v>
                </c:pt>
                <c:pt idx="25">
                  <c:v>6.2500000000000014E-2</c:v>
                </c:pt>
                <c:pt idx="26">
                  <c:v>6.5000000000000016E-2</c:v>
                </c:pt>
                <c:pt idx="27">
                  <c:v>6.7500000000000018E-2</c:v>
                </c:pt>
                <c:pt idx="28">
                  <c:v>7.0000000000000021E-2</c:v>
                </c:pt>
                <c:pt idx="29">
                  <c:v>7.2500000000000023E-2</c:v>
                </c:pt>
                <c:pt idx="30">
                  <c:v>7.5000000000000025E-2</c:v>
                </c:pt>
                <c:pt idx="31">
                  <c:v>7.7500000000000027E-2</c:v>
                </c:pt>
                <c:pt idx="32">
                  <c:v>8.0000000000000029E-2</c:v>
                </c:pt>
                <c:pt idx="33">
                  <c:v>8.2500000000000032E-2</c:v>
                </c:pt>
                <c:pt idx="34">
                  <c:v>8.5000000000000034E-2</c:v>
                </c:pt>
                <c:pt idx="35">
                  <c:v>8.7500000000000036E-2</c:v>
                </c:pt>
                <c:pt idx="36">
                  <c:v>9.0000000000000038E-2</c:v>
                </c:pt>
                <c:pt idx="37">
                  <c:v>9.2500000000000041E-2</c:v>
                </c:pt>
                <c:pt idx="38">
                  <c:v>9.5000000000000043E-2</c:v>
                </c:pt>
                <c:pt idx="39">
                  <c:v>9.7500000000000045E-2</c:v>
                </c:pt>
                <c:pt idx="40">
                  <c:v>0.10000000000000005</c:v>
                </c:pt>
              </c:numCache>
            </c:numRef>
          </c:xVal>
          <c:yVal>
            <c:numRef>
              <c:f>'4. Comparativa'!$R$44:$R$84</c:f>
              <c:numCache>
                <c:formatCode>#,##0.0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C0-CE44-83A7-F6E1AB5584D3}"/>
            </c:ext>
          </c:extLst>
        </c:ser>
        <c:ser>
          <c:idx val="1"/>
          <c:order val="1"/>
          <c:tx>
            <c:strRef>
              <c:f>'4. Comparativa'!$S$43</c:f>
              <c:strCache>
                <c:ptCount val="1"/>
                <c:pt idx="0">
                  <c:v>VAN proyecto 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'4. Comparativa'!$Q$44:$Q$84</c:f>
              <c:numCache>
                <c:formatCode>0.00%</c:formatCode>
                <c:ptCount val="41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  <c:pt idx="5">
                  <c:v>1.2500000000000001E-2</c:v>
                </c:pt>
                <c:pt idx="6">
                  <c:v>1.5000000000000001E-2</c:v>
                </c:pt>
                <c:pt idx="7">
                  <c:v>1.7500000000000002E-2</c:v>
                </c:pt>
                <c:pt idx="8">
                  <c:v>0.02</c:v>
                </c:pt>
                <c:pt idx="9">
                  <c:v>2.2499999999999999E-2</c:v>
                </c:pt>
                <c:pt idx="10">
                  <c:v>2.4999999999999998E-2</c:v>
                </c:pt>
                <c:pt idx="11">
                  <c:v>2.7499999999999997E-2</c:v>
                </c:pt>
                <c:pt idx="12">
                  <c:v>2.9999999999999995E-2</c:v>
                </c:pt>
                <c:pt idx="13">
                  <c:v>3.2499999999999994E-2</c:v>
                </c:pt>
                <c:pt idx="14">
                  <c:v>3.4999999999999996E-2</c:v>
                </c:pt>
                <c:pt idx="15">
                  <c:v>3.7499999999999999E-2</c:v>
                </c:pt>
                <c:pt idx="16">
                  <c:v>0.04</c:v>
                </c:pt>
                <c:pt idx="17">
                  <c:v>4.2500000000000003E-2</c:v>
                </c:pt>
                <c:pt idx="18">
                  <c:v>4.5000000000000005E-2</c:v>
                </c:pt>
                <c:pt idx="19">
                  <c:v>4.7500000000000007E-2</c:v>
                </c:pt>
                <c:pt idx="20">
                  <c:v>5.000000000000001E-2</c:v>
                </c:pt>
                <c:pt idx="21">
                  <c:v>5.2500000000000012E-2</c:v>
                </c:pt>
                <c:pt idx="22">
                  <c:v>5.5000000000000014E-2</c:v>
                </c:pt>
                <c:pt idx="23">
                  <c:v>5.7500000000000016E-2</c:v>
                </c:pt>
                <c:pt idx="24">
                  <c:v>6.0000000000000019E-2</c:v>
                </c:pt>
                <c:pt idx="25">
                  <c:v>6.2500000000000014E-2</c:v>
                </c:pt>
                <c:pt idx="26">
                  <c:v>6.5000000000000016E-2</c:v>
                </c:pt>
                <c:pt idx="27">
                  <c:v>6.7500000000000018E-2</c:v>
                </c:pt>
                <c:pt idx="28">
                  <c:v>7.0000000000000021E-2</c:v>
                </c:pt>
                <c:pt idx="29">
                  <c:v>7.2500000000000023E-2</c:v>
                </c:pt>
                <c:pt idx="30">
                  <c:v>7.5000000000000025E-2</c:v>
                </c:pt>
                <c:pt idx="31">
                  <c:v>7.7500000000000027E-2</c:v>
                </c:pt>
                <c:pt idx="32">
                  <c:v>8.0000000000000029E-2</c:v>
                </c:pt>
                <c:pt idx="33">
                  <c:v>8.2500000000000032E-2</c:v>
                </c:pt>
                <c:pt idx="34">
                  <c:v>8.5000000000000034E-2</c:v>
                </c:pt>
                <c:pt idx="35">
                  <c:v>8.7500000000000036E-2</c:v>
                </c:pt>
                <c:pt idx="36">
                  <c:v>9.0000000000000038E-2</c:v>
                </c:pt>
                <c:pt idx="37">
                  <c:v>9.2500000000000041E-2</c:v>
                </c:pt>
                <c:pt idx="38">
                  <c:v>9.5000000000000043E-2</c:v>
                </c:pt>
                <c:pt idx="39">
                  <c:v>9.7500000000000045E-2</c:v>
                </c:pt>
                <c:pt idx="40">
                  <c:v>0.10000000000000005</c:v>
                </c:pt>
              </c:numCache>
            </c:numRef>
          </c:xVal>
          <c:yVal>
            <c:numRef>
              <c:f>'4. Comparativa'!$S$44:$S$84</c:f>
              <c:numCache>
                <c:formatCode>#,##0.0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C0-CE44-83A7-F6E1AB558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89280"/>
        <c:axId val="43116800"/>
      </c:scatterChart>
      <c:valAx>
        <c:axId val="43089280"/>
        <c:scaling>
          <c:orientation val="minMax"/>
          <c:max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116800"/>
        <c:crosses val="autoZero"/>
        <c:crossBetween val="midCat"/>
      </c:valAx>
      <c:valAx>
        <c:axId val="431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089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" l="0" r="0" t="0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15" fmlaLink="simulacion!$S$13" fmlaRange="simulacion!$R$13:$R$17" noThreeD="1" sel="3" val="0"/>
</file>

<file path=xl/ctrlProps/ctrlProp2.xml><?xml version="1.0" encoding="utf-8"?>
<formControlPr xmlns="http://schemas.microsoft.com/office/spreadsheetml/2009/9/main" objectType="Drop" dropStyle="combo" dx="15" fmlaLink="simulacion!$S$22" fmlaRange="simulacion!$R$22:$R$24" noThreeD="1" val="0"/>
</file>

<file path=xl/ctrlProps/ctrlProp3.xml><?xml version="1.0" encoding="utf-8"?>
<formControlPr xmlns="http://schemas.microsoft.com/office/spreadsheetml/2009/9/main" objectType="Drop" dropStyle="combo" dx="15" fmlaLink="simulacion!$V$13" fmlaRange="simulacion!$U$13:$U$17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2.jp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g"/><Relationship Id="rId4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3535867</xdr:colOff>
      <xdr:row>1</xdr:row>
      <xdr:rowOff>104052</xdr:rowOff>
    </xdr:from>
    <xdr:to>
      <xdr:col>1</xdr:col>
      <xdr:colOff>14066529</xdr:colOff>
      <xdr:row>8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8599" b="13485"/>
        <a:stretch/>
      </xdr:blipFill>
      <xdr:spPr>
        <a:xfrm>
          <a:off x="3631117" y="199302"/>
          <a:ext cx="10530662" cy="1324697"/>
        </a:xfrm>
        <a:prstGeom prst="rect">
          <a:avLst/>
        </a:prstGeom>
      </xdr:spPr>
    </xdr:pic>
    <xdr:clientData/>
  </xdr:twoCellAnchor>
  <xdr:twoCellAnchor editAs="oneCell">
    <xdr:from>
      <xdr:col>1</xdr:col>
      <xdr:colOff>43114</xdr:colOff>
      <xdr:row>1</xdr:row>
      <xdr:rowOff>72133</xdr:rowOff>
    </xdr:from>
    <xdr:to>
      <xdr:col>1</xdr:col>
      <xdr:colOff>3850822</xdr:colOff>
      <xdr:row>8</xdr:row>
      <xdr:rowOff>98254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64" y="167383"/>
          <a:ext cx="3807708" cy="1359621"/>
        </a:xfrm>
        <a:prstGeom prst="rect">
          <a:avLst/>
        </a:prstGeom>
      </xdr:spPr>
    </xdr:pic>
    <xdr:clientData/>
  </xdr:twoCellAnchor>
  <xdr:twoCellAnchor editAs="oneCell">
    <xdr:from>
      <xdr:col>1</xdr:col>
      <xdr:colOff>9534938</xdr:colOff>
      <xdr:row>3</xdr:row>
      <xdr:rowOff>35589</xdr:rowOff>
    </xdr:from>
    <xdr:to>
      <xdr:col>1</xdr:col>
      <xdr:colOff>9538405</xdr:colOff>
      <xdr:row>7</xdr:row>
      <xdr:rowOff>118422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0188" y="511839"/>
          <a:ext cx="3384842" cy="968658"/>
        </a:xfrm>
        <a:prstGeom prst="rect">
          <a:avLst/>
        </a:prstGeom>
      </xdr:spPr>
    </xdr:pic>
    <xdr:clientData/>
  </xdr:twoCellAnchor>
  <xdr:twoCellAnchor editAs="oneCell">
    <xdr:from>
      <xdr:col>1</xdr:col>
      <xdr:colOff>5322095</xdr:colOff>
      <xdr:row>11</xdr:row>
      <xdr:rowOff>1605090</xdr:rowOff>
    </xdr:from>
    <xdr:to>
      <xdr:col>1</xdr:col>
      <xdr:colOff>5324476</xdr:colOff>
      <xdr:row>13</xdr:row>
      <xdr:rowOff>229292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45" y="3338640"/>
          <a:ext cx="3059906" cy="863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22</xdr:row>
          <xdr:rowOff>180975</xdr:rowOff>
        </xdr:from>
        <xdr:to>
          <xdr:col>6</xdr:col>
          <xdr:colOff>38100</xdr:colOff>
          <xdr:row>24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4362450</xdr:colOff>
          <xdr:row>9</xdr:row>
          <xdr:rowOff>28575</xdr:rowOff>
        </xdr:from>
        <xdr:to>
          <xdr:col>3</xdr:col>
          <xdr:colOff>0</xdr:colOff>
          <xdr:row>9</xdr:row>
          <xdr:rowOff>219075</xdr:rowOff>
        </xdr:to>
        <xdr:sp macro="" textlink="">
          <xdr:nvSpPr>
            <xdr:cNvPr id="1026" name="Lista desplegable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66675</xdr:colOff>
      <xdr:row>0</xdr:row>
      <xdr:rowOff>114300</xdr:rowOff>
    </xdr:from>
    <xdr:to>
      <xdr:col>1</xdr:col>
      <xdr:colOff>2973813</xdr:colOff>
      <xdr:row>6</xdr:row>
      <xdr:rowOff>53568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4300"/>
          <a:ext cx="3030963" cy="1082268"/>
        </a:xfrm>
        <a:prstGeom prst="rect">
          <a:avLst/>
        </a:prstGeom>
      </xdr:spPr>
    </xdr:pic>
    <xdr:clientData/>
  </xdr:twoCellAnchor>
  <xdr:twoCellAnchor editAs="oneCell">
    <xdr:from>
      <xdr:col>1</xdr:col>
      <xdr:colOff>2823283</xdr:colOff>
      <xdr:row>0</xdr:row>
      <xdr:rowOff>119005</xdr:rowOff>
    </xdr:from>
    <xdr:to>
      <xdr:col>9</xdr:col>
      <xdr:colOff>613401</xdr:colOff>
      <xdr:row>6</xdr:row>
      <xdr:rowOff>72339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8599" b="13485"/>
        <a:stretch/>
      </xdr:blipFill>
      <xdr:spPr>
        <a:xfrm>
          <a:off x="2947108" y="119005"/>
          <a:ext cx="8715293" cy="1096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8</xdr:row>
      <xdr:rowOff>17912</xdr:rowOff>
    </xdr:from>
    <xdr:to>
      <xdr:col>1</xdr:col>
      <xdr:colOff>420687</xdr:colOff>
      <xdr:row>9</xdr:row>
      <xdr:rowOff>200729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" y="1478412"/>
          <a:ext cx="373063" cy="3653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22</xdr:row>
          <xdr:rowOff>180975</xdr:rowOff>
        </xdr:from>
        <xdr:to>
          <xdr:col>5</xdr:col>
          <xdr:colOff>371475</xdr:colOff>
          <xdr:row>24</xdr:row>
          <xdr:rowOff>9525</xdr:rowOff>
        </xdr:to>
        <xdr:sp macro="" textlink="">
          <xdr:nvSpPr>
            <xdr:cNvPr id="4103" name="Drop Down 1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47625</xdr:colOff>
      <xdr:row>0</xdr:row>
      <xdr:rowOff>142875</xdr:rowOff>
    </xdr:from>
    <xdr:to>
      <xdr:col>1</xdr:col>
      <xdr:colOff>2954763</xdr:colOff>
      <xdr:row>6</xdr:row>
      <xdr:rowOff>82143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42875"/>
          <a:ext cx="3030963" cy="1082268"/>
        </a:xfrm>
        <a:prstGeom prst="rect">
          <a:avLst/>
        </a:prstGeom>
      </xdr:spPr>
    </xdr:pic>
    <xdr:clientData/>
  </xdr:twoCellAnchor>
  <xdr:twoCellAnchor editAs="oneCell">
    <xdr:from>
      <xdr:col>1</xdr:col>
      <xdr:colOff>2804233</xdr:colOff>
      <xdr:row>0</xdr:row>
      <xdr:rowOff>147580</xdr:rowOff>
    </xdr:from>
    <xdr:to>
      <xdr:col>9</xdr:col>
      <xdr:colOff>651501</xdr:colOff>
      <xdr:row>6</xdr:row>
      <xdr:rowOff>100914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8599" b="13485"/>
        <a:stretch/>
      </xdr:blipFill>
      <xdr:spPr>
        <a:xfrm>
          <a:off x="2928058" y="147580"/>
          <a:ext cx="8715293" cy="10963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2954763</xdr:colOff>
      <xdr:row>6</xdr:row>
      <xdr:rowOff>44043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04775"/>
          <a:ext cx="3030963" cy="1082268"/>
        </a:xfrm>
        <a:prstGeom prst="rect">
          <a:avLst/>
        </a:prstGeom>
      </xdr:spPr>
    </xdr:pic>
    <xdr:clientData/>
  </xdr:twoCellAnchor>
  <xdr:twoCellAnchor editAs="oneCell">
    <xdr:from>
      <xdr:col>1</xdr:col>
      <xdr:colOff>2804233</xdr:colOff>
      <xdr:row>0</xdr:row>
      <xdr:rowOff>109480</xdr:rowOff>
    </xdr:from>
    <xdr:to>
      <xdr:col>9</xdr:col>
      <xdr:colOff>203826</xdr:colOff>
      <xdr:row>6</xdr:row>
      <xdr:rowOff>62814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8599" b="13485"/>
        <a:stretch/>
      </xdr:blipFill>
      <xdr:spPr>
        <a:xfrm>
          <a:off x="2928058" y="109480"/>
          <a:ext cx="8715293" cy="10963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93916</xdr:colOff>
      <xdr:row>40</xdr:row>
      <xdr:rowOff>154534</xdr:rowOff>
    </xdr:from>
    <xdr:to>
      <xdr:col>4</xdr:col>
      <xdr:colOff>683025</xdr:colOff>
      <xdr:row>63</xdr:row>
      <xdr:rowOff>128067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99252</xdr:colOff>
      <xdr:row>66</xdr:row>
      <xdr:rowOff>85379</xdr:rowOff>
    </xdr:from>
    <xdr:to>
      <xdr:col>4</xdr:col>
      <xdr:colOff>490924</xdr:colOff>
      <xdr:row>90</xdr:row>
      <xdr:rowOff>85379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195301</xdr:colOff>
      <xdr:row>93</xdr:row>
      <xdr:rowOff>15796</xdr:rowOff>
    </xdr:from>
    <xdr:to>
      <xdr:col>4</xdr:col>
      <xdr:colOff>533613</xdr:colOff>
      <xdr:row>117</xdr:row>
      <xdr:rowOff>128067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104775</xdr:rowOff>
    </xdr:from>
    <xdr:to>
      <xdr:col>1</xdr:col>
      <xdr:colOff>2945238</xdr:colOff>
      <xdr:row>6</xdr:row>
      <xdr:rowOff>44043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04775"/>
          <a:ext cx="3030963" cy="1082268"/>
        </a:xfrm>
        <a:prstGeom prst="rect">
          <a:avLst/>
        </a:prstGeom>
      </xdr:spPr>
    </xdr:pic>
    <xdr:clientData/>
  </xdr:twoCellAnchor>
  <xdr:twoCellAnchor editAs="oneCell">
    <xdr:from>
      <xdr:col>1</xdr:col>
      <xdr:colOff>2794708</xdr:colOff>
      <xdr:row>0</xdr:row>
      <xdr:rowOff>109480</xdr:rowOff>
    </xdr:from>
    <xdr:to>
      <xdr:col>11</xdr:col>
      <xdr:colOff>203826</xdr:colOff>
      <xdr:row>6</xdr:row>
      <xdr:rowOff>62814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8599" b="13485"/>
        <a:stretch/>
      </xdr:blipFill>
      <xdr:spPr>
        <a:xfrm>
          <a:off x="2909008" y="109480"/>
          <a:ext cx="8715293" cy="10963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1</xdr:row>
      <xdr:rowOff>33280</xdr:rowOff>
    </xdr:from>
    <xdr:to>
      <xdr:col>16</xdr:col>
      <xdr:colOff>619126</xdr:colOff>
      <xdr:row>6</xdr:row>
      <xdr:rowOff>177114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1" t="18599" r="1355" b="13485"/>
        <a:stretch/>
      </xdr:blipFill>
      <xdr:spPr>
        <a:xfrm>
          <a:off x="3009901" y="99955"/>
          <a:ext cx="8534400" cy="109633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28575</xdr:rowOff>
    </xdr:from>
    <xdr:to>
      <xdr:col>5</xdr:col>
      <xdr:colOff>163938</xdr:colOff>
      <xdr:row>6</xdr:row>
      <xdr:rowOff>158343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95250"/>
          <a:ext cx="3030963" cy="10822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3101222</xdr:colOff>
      <xdr:row>0</xdr:row>
      <xdr:rowOff>151997</xdr:rowOff>
    </xdr:from>
    <xdr:to>
      <xdr:col>1</xdr:col>
      <xdr:colOff>3662117</xdr:colOff>
      <xdr:row>6</xdr:row>
      <xdr:rowOff>128898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1" t="18599" r="1355" b="13485"/>
        <a:stretch/>
      </xdr:blipFill>
      <xdr:spPr>
        <a:xfrm>
          <a:off x="3101222" y="151997"/>
          <a:ext cx="8534400" cy="1096334"/>
        </a:xfrm>
        <a:prstGeom prst="rect">
          <a:avLst/>
        </a:prstGeom>
      </xdr:spPr>
    </xdr:pic>
    <xdr:clientData/>
  </xdr:twoCellAnchor>
  <xdr:twoCellAnchor editAs="oneCell">
    <xdr:from>
      <xdr:col>0</xdr:col>
      <xdr:colOff>186571</xdr:colOff>
      <xdr:row>0</xdr:row>
      <xdr:rowOff>147292</xdr:rowOff>
    </xdr:from>
    <xdr:to>
      <xdr:col>0</xdr:col>
      <xdr:colOff>3217534</xdr:colOff>
      <xdr:row>6</xdr:row>
      <xdr:rowOff>110127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571" y="147292"/>
          <a:ext cx="3030963" cy="1082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ustainability.ugr.es/research-output/adaptacion-cambio-climatic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ustainability.ugr.es/herramienta-de-analisis-coste-beneficio/" TargetMode="External"/><Relationship Id="rId6" Type="http://schemas.openxmlformats.org/officeDocument/2006/relationships/comments" Target="../comments2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zoomScale="70" zoomScaleNormal="70" workbookViewId="0">
      <selection activeCell="B29" sqref="B29"/>
    </sheetView>
  </sheetViews>
  <sheetFormatPr baseColWidth="10" defaultColWidth="12.28515625" defaultRowHeight="15" x14ac:dyDescent="0.25"/>
  <cols>
    <col min="1" max="1" width="1.42578125" style="1" customWidth="1"/>
    <col min="2" max="2" width="214.42578125" style="1" customWidth="1"/>
    <col min="3" max="3" width="1.140625" style="1" customWidth="1"/>
    <col min="4" max="16384" width="12.28515625" style="1"/>
  </cols>
  <sheetData>
    <row r="1" spans="1:3" ht="7.5" customHeight="1" x14ac:dyDescent="0.3">
      <c r="A1" s="64"/>
      <c r="B1" s="64"/>
      <c r="C1" s="64"/>
    </row>
    <row r="2" spans="1:3" ht="14.45" x14ac:dyDescent="0.3">
      <c r="A2" s="64"/>
      <c r="C2" s="64"/>
    </row>
    <row r="3" spans="1:3" ht="14.45" x14ac:dyDescent="0.3">
      <c r="A3" s="64"/>
      <c r="C3" s="64"/>
    </row>
    <row r="4" spans="1:3" ht="14.45" x14ac:dyDescent="0.3">
      <c r="A4" s="64"/>
      <c r="C4" s="64"/>
    </row>
    <row r="5" spans="1:3" ht="14.45" x14ac:dyDescent="0.3">
      <c r="A5" s="64"/>
      <c r="C5" s="64"/>
    </row>
    <row r="6" spans="1:3" ht="14.45" x14ac:dyDescent="0.3">
      <c r="A6" s="64"/>
      <c r="C6" s="64"/>
    </row>
    <row r="7" spans="1:3" ht="14.45" x14ac:dyDescent="0.3">
      <c r="A7" s="64"/>
      <c r="C7" s="64"/>
    </row>
    <row r="8" spans="1:3" ht="14.45" x14ac:dyDescent="0.3">
      <c r="A8" s="64"/>
      <c r="C8" s="64"/>
    </row>
    <row r="9" spans="1:3" ht="14.45" x14ac:dyDescent="0.3">
      <c r="A9" s="64"/>
      <c r="C9" s="64"/>
    </row>
    <row r="10" spans="1:3" ht="14.45" x14ac:dyDescent="0.3">
      <c r="A10" s="64"/>
      <c r="C10" s="64"/>
    </row>
    <row r="11" spans="1:3" ht="14.45" x14ac:dyDescent="0.3">
      <c r="A11" s="64"/>
      <c r="C11" s="64"/>
    </row>
    <row r="12" spans="1:3" ht="84" x14ac:dyDescent="0.35">
      <c r="A12" s="64"/>
      <c r="B12" s="68" t="s">
        <v>123</v>
      </c>
      <c r="C12" s="64"/>
    </row>
    <row r="13" spans="1:3" ht="21" x14ac:dyDescent="0.4">
      <c r="A13" s="64"/>
      <c r="B13" s="71"/>
      <c r="C13" s="64"/>
    </row>
    <row r="14" spans="1:3" ht="21" x14ac:dyDescent="0.35">
      <c r="A14" s="74"/>
      <c r="B14" s="72" t="s">
        <v>114</v>
      </c>
      <c r="C14" s="64"/>
    </row>
    <row r="15" spans="1:3" ht="63" x14ac:dyDescent="0.35">
      <c r="A15" s="74"/>
      <c r="B15" s="73" t="s">
        <v>117</v>
      </c>
      <c r="C15" s="64"/>
    </row>
    <row r="16" spans="1:3" ht="63" x14ac:dyDescent="0.35">
      <c r="A16" s="74"/>
      <c r="B16" s="73" t="s">
        <v>124</v>
      </c>
      <c r="C16" s="64"/>
    </row>
    <row r="17" spans="1:3" ht="63" x14ac:dyDescent="0.35">
      <c r="A17" s="74"/>
      <c r="B17" s="75" t="s">
        <v>118</v>
      </c>
      <c r="C17" s="64"/>
    </row>
    <row r="18" spans="1:3" ht="14.45" x14ac:dyDescent="0.3">
      <c r="A18" s="64"/>
      <c r="C18" s="64"/>
    </row>
    <row r="19" spans="1:3" ht="20.25" customHeight="1" x14ac:dyDescent="0.35">
      <c r="A19" s="64"/>
      <c r="B19" s="76" t="s">
        <v>122</v>
      </c>
      <c r="C19" s="64"/>
    </row>
    <row r="20" spans="1:3" ht="21" x14ac:dyDescent="0.4">
      <c r="A20" s="64"/>
      <c r="B20" s="65"/>
      <c r="C20" s="64"/>
    </row>
    <row r="21" spans="1:3" ht="42" x14ac:dyDescent="0.35">
      <c r="A21" s="64"/>
      <c r="B21" s="68" t="s">
        <v>109</v>
      </c>
      <c r="C21" s="64"/>
    </row>
    <row r="22" spans="1:3" ht="42" x14ac:dyDescent="0.35">
      <c r="A22" s="64"/>
      <c r="B22" s="68" t="s">
        <v>111</v>
      </c>
      <c r="C22" s="64"/>
    </row>
    <row r="23" spans="1:3" ht="21" x14ac:dyDescent="0.4">
      <c r="A23" s="64"/>
      <c r="B23" s="78" t="s">
        <v>110</v>
      </c>
      <c r="C23" s="64"/>
    </row>
    <row r="24" spans="1:3" ht="5.25" customHeight="1" x14ac:dyDescent="0.4">
      <c r="A24" s="64"/>
      <c r="B24" s="67"/>
      <c r="C24" s="64"/>
    </row>
    <row r="25" spans="1:3" ht="21" x14ac:dyDescent="0.4">
      <c r="B25" s="66"/>
    </row>
    <row r="26" spans="1:3" ht="14.25" customHeight="1" x14ac:dyDescent="0.3">
      <c r="B26" s="70"/>
    </row>
    <row r="27" spans="1:3" ht="36" x14ac:dyDescent="0.25">
      <c r="A27" s="69"/>
      <c r="B27" s="77" t="s">
        <v>112</v>
      </c>
    </row>
    <row r="28" spans="1:3" ht="21" x14ac:dyDescent="0.4">
      <c r="B28" s="66"/>
    </row>
    <row r="29" spans="1:3" ht="21" x14ac:dyDescent="0.4">
      <c r="B29" s="79"/>
    </row>
    <row r="30" spans="1:3" ht="21" x14ac:dyDescent="0.4">
      <c r="B30" s="66"/>
    </row>
    <row r="31" spans="1:3" ht="21" x14ac:dyDescent="0.4">
      <c r="B31" s="66"/>
    </row>
    <row r="32" spans="1:3" ht="21" x14ac:dyDescent="0.4">
      <c r="B32" s="66"/>
    </row>
    <row r="69" spans="2:2" x14ac:dyDescent="0.25">
      <c r="B69" s="15"/>
    </row>
  </sheetData>
  <sheetProtection password="81C4" sheet="1" objects="1" scenarios="1" selectLockedCells="1"/>
  <hyperlinks>
    <hyperlink ref="B23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zoomScale="70" zoomScaleNormal="70" workbookViewId="0">
      <selection activeCell="C11" sqref="C11"/>
    </sheetView>
  </sheetViews>
  <sheetFormatPr baseColWidth="10" defaultColWidth="11.42578125" defaultRowHeight="15" x14ac:dyDescent="0.25"/>
  <cols>
    <col min="1" max="1" width="1.85546875" style="1" customWidth="1"/>
    <col min="2" max="2" width="65.42578125" style="1" customWidth="1"/>
    <col min="3" max="3" width="14.28515625" style="1" bestFit="1" customWidth="1"/>
    <col min="4" max="4" width="13.85546875" style="1" customWidth="1"/>
    <col min="5" max="5" width="14.85546875" style="1" customWidth="1"/>
    <col min="6" max="9" width="13.85546875" style="1" customWidth="1"/>
    <col min="10" max="10" width="13" style="1" customWidth="1"/>
    <col min="11" max="11" width="13.42578125" style="1" customWidth="1"/>
    <col min="12" max="12" width="12.85546875" style="1" customWidth="1"/>
    <col min="13" max="13" width="13.28515625" style="1" customWidth="1"/>
    <col min="14" max="16384" width="11.42578125" style="1"/>
  </cols>
  <sheetData>
    <row r="1" spans="1:16" ht="14.45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6" ht="14.45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6" ht="14.45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6" ht="14.45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6" ht="14.4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6" ht="14.45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6" ht="14.45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6" ht="14.45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6" ht="14.45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6" s="9" customFormat="1" ht="18" customHeight="1" x14ac:dyDescent="0.25">
      <c r="B10" s="9" t="s">
        <v>68</v>
      </c>
    </row>
    <row r="11" spans="1:16" s="9" customFormat="1" ht="18" customHeight="1" x14ac:dyDescent="0.25">
      <c r="B11" s="9" t="s">
        <v>119</v>
      </c>
      <c r="C11" s="10"/>
      <c r="D11" s="9" t="s">
        <v>9</v>
      </c>
    </row>
    <row r="12" spans="1:16" s="9" customFormat="1" ht="18" customHeight="1" x14ac:dyDescent="0.25">
      <c r="B12" s="9" t="s">
        <v>69</v>
      </c>
      <c r="C12" s="10"/>
      <c r="D12" s="9" t="s">
        <v>10</v>
      </c>
    </row>
    <row r="13" spans="1:16" s="9" customFormat="1" ht="18" customHeight="1" x14ac:dyDescent="0.25">
      <c r="B13" s="9" t="s">
        <v>70</v>
      </c>
      <c r="C13" s="10"/>
      <c r="D13" s="9" t="s">
        <v>9</v>
      </c>
    </row>
    <row r="14" spans="1:16" s="9" customFormat="1" ht="18" customHeight="1" x14ac:dyDescent="0.25">
      <c r="B14" s="9" t="s">
        <v>71</v>
      </c>
      <c r="C14" s="10"/>
      <c r="D14" s="9" t="s">
        <v>56</v>
      </c>
    </row>
    <row r="15" spans="1:16" ht="14.45" x14ac:dyDescent="0.3">
      <c r="C15" s="2"/>
      <c r="P15" s="38">
        <f>simulacion!S13</f>
        <v>3</v>
      </c>
    </row>
    <row r="16" spans="1:16" x14ac:dyDescent="0.25">
      <c r="B16" s="8" t="s">
        <v>1</v>
      </c>
      <c r="P16" s="38"/>
    </row>
    <row r="17" spans="2:17" x14ac:dyDescent="0.25">
      <c r="B17" s="8" t="s">
        <v>2</v>
      </c>
      <c r="E17" s="6"/>
      <c r="F17" s="1" t="s">
        <v>3</v>
      </c>
      <c r="P17" s="38"/>
    </row>
    <row r="18" spans="2:17" ht="9.6" customHeight="1" x14ac:dyDescent="0.3">
      <c r="P18" s="38">
        <f>P15</f>
        <v>3</v>
      </c>
    </row>
    <row r="19" spans="2:17" ht="32.450000000000003" customHeight="1" x14ac:dyDescent="0.25">
      <c r="D19" s="12" t="s">
        <v>23</v>
      </c>
      <c r="E19" s="12" t="s">
        <v>24</v>
      </c>
      <c r="F19" s="3"/>
      <c r="G19" s="3"/>
      <c r="H19" s="3"/>
    </row>
    <row r="20" spans="2:17" x14ac:dyDescent="0.25">
      <c r="B20" s="1" t="s">
        <v>120</v>
      </c>
      <c r="D20" s="6"/>
      <c r="E20" s="6"/>
      <c r="F20" s="5" t="str">
        <f>IF(OR((D20+E20)&gt;100%,(D20+E20)&lt;100%),"ATENCION! La suma de porcentajes debe ser el 100%","")</f>
        <v>ATENCION! La suma de porcentajes debe ser el 100%</v>
      </c>
      <c r="J20" s="4"/>
    </row>
    <row r="21" spans="2:17" x14ac:dyDescent="0.25">
      <c r="B21" s="11" t="s">
        <v>125</v>
      </c>
      <c r="D21" s="5"/>
      <c r="E21" s="5"/>
      <c r="F21" s="5"/>
      <c r="G21" s="5"/>
      <c r="H21" s="5"/>
      <c r="I21" s="5"/>
      <c r="Q21" s="4"/>
    </row>
    <row r="22" spans="2:17" ht="14.45" x14ac:dyDescent="0.3">
      <c r="B22" s="17"/>
      <c r="C22" s="15"/>
      <c r="D22" s="16"/>
      <c r="E22" s="16"/>
      <c r="F22" s="16"/>
      <c r="G22" s="16"/>
      <c r="H22" s="16"/>
      <c r="I22" s="5"/>
      <c r="Q22" s="4"/>
    </row>
    <row r="23" spans="2:17" ht="14.45" x14ac:dyDescent="0.3">
      <c r="B23" s="15"/>
      <c r="C23" s="15"/>
      <c r="D23" s="16"/>
      <c r="E23" s="15"/>
      <c r="F23" s="15"/>
      <c r="G23" s="15"/>
      <c r="H23" s="15"/>
    </row>
    <row r="24" spans="2:17" x14ac:dyDescent="0.25">
      <c r="B24" s="15" t="s">
        <v>121</v>
      </c>
      <c r="C24" s="15"/>
      <c r="D24" s="15"/>
      <c r="E24" s="15"/>
      <c r="F24" s="15"/>
      <c r="G24" s="15"/>
      <c r="H24" s="15"/>
    </row>
    <row r="25" spans="2:17" ht="14.45" x14ac:dyDescent="0.3">
      <c r="B25" s="15"/>
      <c r="C25" s="15"/>
      <c r="D25" s="15"/>
      <c r="E25" s="15"/>
      <c r="F25" s="15"/>
      <c r="G25" s="15"/>
      <c r="H25" s="15"/>
      <c r="P25" s="4"/>
    </row>
    <row r="26" spans="2:17" ht="45" x14ac:dyDescent="0.25">
      <c r="B26" s="15"/>
      <c r="C26" s="15"/>
      <c r="D26" s="18" t="s">
        <v>25</v>
      </c>
      <c r="E26" s="14" t="str">
        <f>IF(simulacion!$S$13&gt;=2,"Al año de iniciar la construcción","")</f>
        <v>Al año de iniciar la construcción</v>
      </c>
      <c r="F26" s="14" t="str">
        <f>IF(simulacion!$S$13&gt;=3,"A los dos años de iniciar la  construcción","")</f>
        <v>A los dos años de iniciar la  construcción</v>
      </c>
      <c r="G26" s="14" t="str">
        <f>IF(simulacion!$S$13&gt;=4,"A los tres años de  iniciar la construcción","")</f>
        <v/>
      </c>
      <c r="H26" s="14" t="str">
        <f>IF(simulacion!$S$13&gt;=5,"A los cuatro años de iniciar la construcción","")</f>
        <v/>
      </c>
      <c r="I26" s="12" t="s">
        <v>17</v>
      </c>
    </row>
    <row r="27" spans="2:17" x14ac:dyDescent="0.25">
      <c r="B27" s="1" t="s">
        <v>22</v>
      </c>
      <c r="D27" s="6"/>
      <c r="E27" s="7"/>
      <c r="F27" s="7"/>
      <c r="G27" s="7"/>
      <c r="H27" s="7"/>
      <c r="I27" s="13">
        <f>IF(P15=1,D27,IF(P15=2,SUM(D27:E27),IF(P15=3,SUM(D27:F27),IF(P15=4,SUM(D27:G27),SUM(D27:H27)))))</f>
        <v>0</v>
      </c>
      <c r="J27" s="5" t="str">
        <f>IF(OR(I27&gt;100%,I27&lt;100%),"ATENCIÓN! La suma de porcentajes de las casillas con fondo verde debe ser el 100%","")</f>
        <v>ATENCIÓN! La suma de porcentajes de las casillas con fondo verde debe ser el 100%</v>
      </c>
    </row>
    <row r="28" spans="2:17" ht="14.45" x14ac:dyDescent="0.3">
      <c r="B28" s="11" t="s">
        <v>18</v>
      </c>
    </row>
    <row r="30" spans="2:17" x14ac:dyDescent="0.25">
      <c r="B30" s="1" t="s">
        <v>57</v>
      </c>
      <c r="D30" s="6"/>
      <c r="E30" s="7"/>
      <c r="F30" s="7"/>
      <c r="G30" s="7"/>
      <c r="H30" s="7"/>
      <c r="I30" s="13">
        <f>IF(P18=1,D30,IF(P18=2,SUM(D30:E30),IF(P18=3,SUM(D30:F30),IF(P18=4,SUM(D30:G30),SUM(D30:H30)))))</f>
        <v>0</v>
      </c>
      <c r="J30" s="5" t="str">
        <f>IF(OR(I30&gt;100%,I30&lt;100%),"ATENCIÓN! La suma de porcentajes de las casillas con fondo verde debe ser el 100%","")</f>
        <v>ATENCIÓN! La suma de porcentajes de las casillas con fondo verde debe ser el 100%</v>
      </c>
    </row>
    <row r="31" spans="2:17" ht="14.45" x14ac:dyDescent="0.3">
      <c r="B31" s="11" t="s">
        <v>18</v>
      </c>
    </row>
  </sheetData>
  <sheetProtection password="81C4" sheet="1" objects="1" scenarios="1" selectLockedCells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38100</xdr:colOff>
                    <xdr:row>22</xdr:row>
                    <xdr:rowOff>180975</xdr:rowOff>
                  </from>
                  <to>
                    <xdr:col>6</xdr:col>
                    <xdr:colOff>38100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a desplegable 2">
              <controlPr locked="0" defaultSize="0" autoLine="0" autoPict="0">
                <anchor>
                  <from>
                    <xdr:col>1</xdr:col>
                    <xdr:colOff>4362450</xdr:colOff>
                    <xdr:row>9</xdr:row>
                    <xdr:rowOff>28575</xdr:rowOff>
                  </from>
                  <to>
                    <xdr:col>3</xdr:col>
                    <xdr:colOff>0</xdr:colOff>
                    <xdr:row>9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F5FAA8D3-3513-D246-8506-B050F89BE935}">
            <xm:f>simulacion!$S$13&gt;=4</xm:f>
            <x14:dxf>
              <fill>
                <patternFill>
                  <bgColor theme="9" tint="0.59996337778862885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expression" priority="34" id="{3051CCF9-B7BE-7441-ADFE-05AB320B7578}">
            <xm:f>simulacion!$S$13&gt;=5</xm:f>
            <x14:dxf>
              <fill>
                <patternFill>
                  <bgColor theme="9" tint="0.59996337778862885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36" id="{54CEB54C-5372-5940-808B-D12E401677BC}">
            <xm:f>simulacion!$S$13&gt;=3</xm:f>
            <x14:dxf>
              <fill>
                <patternFill>
                  <bgColor theme="9" tint="0.59996337778862885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22" id="{73AE4BCF-1F59-A745-ABEF-CE8FA58B18CD}">
            <xm:f>simulacion!$S$13&gt;=2</xm:f>
            <x14:dxf>
              <fill>
                <patternFill>
                  <bgColor theme="9" tint="0.59996337778862885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expression" priority="15" id="{0DA8C1D5-2BE5-C64D-B161-71C80E3F2AE7}">
            <xm:f>simulacion!$S$13&gt;=4</xm:f>
            <x14:dxf>
              <fill>
                <patternFill>
                  <bgColor theme="7" tint="0.39994506668294322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expression" priority="14" id="{FB7755FD-C029-944F-AB5F-4C3C9FBB2ABE}">
            <xm:f>simulacion!$S$13&gt;=5</xm:f>
            <x14:dxf>
              <fill>
                <patternFill>
                  <bgColor theme="7" tint="0.39994506668294322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expression" priority="16" id="{68236F3F-60D9-9643-A44C-55691E56331C}">
            <xm:f>simulacion!$S$13&gt;=3</xm:f>
            <x14:dxf>
              <fill>
                <patternFill>
                  <bgColor theme="7" tint="0.39994506668294322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13" id="{0170BD91-8154-E243-AD57-CC4FA4E3F978}">
            <xm:f>simulacion!$S$13&gt;=2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expression" priority="3" id="{81790E63-7E34-E44D-B2D6-67EAE7906B93}">
            <xm:f>simulacion!$S$13&gt;=4</xm:f>
            <x14:dxf>
              <fill>
                <patternFill>
                  <bgColor theme="9" tint="0.59996337778862885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2" id="{3E7EED28-C223-F44A-8D19-723B841D8182}">
            <xm:f>simulacion!$S$13&gt;=5</xm:f>
            <x14:dxf>
              <fill>
                <patternFill>
                  <bgColor theme="9" tint="0.59996337778862885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4" id="{967BFF1D-FE21-8042-9AF1-85B540FCDA8B}">
            <xm:f>simulacion!$S$13&gt;=3</xm:f>
            <x14:dxf>
              <fill>
                <patternFill>
                  <bgColor theme="9" tint="0.59996337778862885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1" id="{7D1A11C5-CB5C-C141-AEC3-4F4AD153FA98}">
            <xm:f>simulacion!$S$13&gt;=2</xm:f>
            <x14:dxf>
              <fill>
                <patternFill>
                  <bgColor theme="9" tint="0.59996337778862885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zoomScale="70" zoomScaleNormal="70" workbookViewId="0">
      <selection activeCell="C11" sqref="C11"/>
    </sheetView>
  </sheetViews>
  <sheetFormatPr baseColWidth="10" defaultColWidth="11.42578125" defaultRowHeight="15" x14ac:dyDescent="0.25"/>
  <cols>
    <col min="1" max="1" width="1.85546875" style="1" customWidth="1"/>
    <col min="2" max="2" width="65.42578125" style="1" customWidth="1"/>
    <col min="3" max="3" width="14.28515625" style="1" bestFit="1" customWidth="1"/>
    <col min="4" max="4" width="13.85546875" style="1" customWidth="1"/>
    <col min="5" max="5" width="14.85546875" style="1" customWidth="1"/>
    <col min="6" max="8" width="13.85546875" style="1" customWidth="1"/>
    <col min="9" max="10" width="13" style="1" customWidth="1"/>
    <col min="11" max="11" width="13.42578125" style="1" customWidth="1"/>
    <col min="12" max="12" width="12.85546875" style="1" customWidth="1"/>
    <col min="13" max="13" width="13.28515625" style="1" customWidth="1"/>
    <col min="14" max="16384" width="11.42578125" style="1"/>
  </cols>
  <sheetData>
    <row r="1" spans="1:16" ht="14.45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6" ht="14.45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6" ht="14.45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6" ht="14.45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6" ht="14.4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6" ht="14.45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6" ht="14.45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6" ht="14.45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6" ht="14.45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6" s="9" customFormat="1" ht="18" customHeight="1" x14ac:dyDescent="0.3"/>
    <row r="11" spans="1:16" s="9" customFormat="1" ht="18" customHeight="1" x14ac:dyDescent="0.25">
      <c r="B11" s="9" t="s">
        <v>119</v>
      </c>
      <c r="C11" s="10"/>
      <c r="D11" s="9" t="str">
        <f>IF(C11&lt;='1. Inicial'!$C$11,"El coste para una calificación energética A debe ser superior al del proyecto inicial","€. Para una referencia de este coste visite: ")</f>
        <v>El coste para una calificación energética A debe ser superior al del proyecto inicial</v>
      </c>
      <c r="G11" s="81"/>
      <c r="J11" s="80" t="s">
        <v>126</v>
      </c>
    </row>
    <row r="12" spans="1:16" s="9" customFormat="1" ht="18" customHeight="1" x14ac:dyDescent="0.25">
      <c r="B12" s="9" t="s">
        <v>59</v>
      </c>
      <c r="C12" s="34">
        <f>'1. Inicial'!$C$12</f>
        <v>0</v>
      </c>
      <c r="D12" s="9" t="s">
        <v>63</v>
      </c>
    </row>
    <row r="13" spans="1:16" s="9" customFormat="1" ht="18" customHeight="1" x14ac:dyDescent="0.25">
      <c r="B13" s="9" t="s">
        <v>60</v>
      </c>
      <c r="C13" s="34">
        <f>'1. Inicial'!$C$13</f>
        <v>0</v>
      </c>
      <c r="D13" s="9" t="s">
        <v>62</v>
      </c>
    </row>
    <row r="14" spans="1:16" s="9" customFormat="1" ht="18" customHeight="1" x14ac:dyDescent="0.25">
      <c r="B14" s="9" t="s">
        <v>61</v>
      </c>
      <c r="C14" s="34">
        <f>'1. Inicial'!$C$14</f>
        <v>0</v>
      </c>
      <c r="D14" s="9" t="s">
        <v>62</v>
      </c>
    </row>
    <row r="15" spans="1:16" ht="14.45" x14ac:dyDescent="0.3">
      <c r="C15" s="2"/>
      <c r="P15" s="38">
        <f>simulacion!V13</f>
        <v>3</v>
      </c>
    </row>
    <row r="16" spans="1:16" x14ac:dyDescent="0.25">
      <c r="B16" s="8" t="s">
        <v>64</v>
      </c>
      <c r="P16" s="38"/>
    </row>
    <row r="17" spans="2:17" x14ac:dyDescent="0.25">
      <c r="B17" s="8" t="s">
        <v>2</v>
      </c>
      <c r="E17" s="6"/>
      <c r="F17" s="1" t="s">
        <v>65</v>
      </c>
      <c r="P17" s="38"/>
    </row>
    <row r="18" spans="2:17" ht="9.6" customHeight="1" x14ac:dyDescent="0.3">
      <c r="P18" s="38">
        <f>P15</f>
        <v>3</v>
      </c>
    </row>
    <row r="19" spans="2:17" ht="32.450000000000003" customHeight="1" x14ac:dyDescent="0.25">
      <c r="D19" s="12" t="s">
        <v>23</v>
      </c>
      <c r="E19" s="12" t="s">
        <v>24</v>
      </c>
      <c r="F19" s="3"/>
      <c r="G19" s="3"/>
      <c r="H19" s="3"/>
      <c r="P19" s="38"/>
    </row>
    <row r="20" spans="2:17" x14ac:dyDescent="0.25">
      <c r="B20" s="1" t="s">
        <v>120</v>
      </c>
      <c r="D20" s="6"/>
      <c r="E20" s="6"/>
      <c r="F20" s="5" t="str">
        <f>IF(OR((D20+E20)&gt;100%,(D20+E20)&lt;100%),"ATENCION! La suma de porcentajes debe ser el 100%","(estos % pueden diferir de los correspondientes al proyecto inicial)")</f>
        <v>ATENCION! La suma de porcentajes debe ser el 100%</v>
      </c>
      <c r="J20" s="4"/>
    </row>
    <row r="21" spans="2:17" x14ac:dyDescent="0.25">
      <c r="B21" s="11" t="s">
        <v>11</v>
      </c>
      <c r="D21" s="5"/>
      <c r="E21" s="5"/>
      <c r="F21" s="5"/>
      <c r="G21" s="5"/>
      <c r="H21" s="5"/>
      <c r="I21" s="5"/>
      <c r="Q21" s="4"/>
    </row>
    <row r="22" spans="2:17" ht="14.45" x14ac:dyDescent="0.3">
      <c r="B22" s="17"/>
      <c r="C22" s="15"/>
      <c r="D22" s="16"/>
      <c r="E22" s="16"/>
      <c r="F22" s="16"/>
      <c r="G22" s="16"/>
      <c r="H22" s="16"/>
      <c r="I22" s="16"/>
      <c r="J22" s="15"/>
      <c r="Q22" s="4"/>
    </row>
    <row r="23" spans="2:17" ht="14.45" x14ac:dyDescent="0.3">
      <c r="B23" s="15"/>
      <c r="C23" s="15"/>
      <c r="D23" s="16"/>
      <c r="E23" s="15"/>
      <c r="F23" s="15"/>
      <c r="G23" s="15"/>
      <c r="H23" s="15"/>
      <c r="I23" s="15"/>
      <c r="J23" s="15"/>
    </row>
    <row r="24" spans="2:17" x14ac:dyDescent="0.25">
      <c r="B24" s="15" t="s">
        <v>121</v>
      </c>
      <c r="C24" s="15"/>
      <c r="D24" s="15"/>
      <c r="E24" s="15"/>
      <c r="F24" s="15"/>
      <c r="G24" s="15"/>
      <c r="H24" s="15"/>
      <c r="I24" s="15"/>
      <c r="J24" s="15"/>
    </row>
    <row r="25" spans="2:17" ht="14.45" x14ac:dyDescent="0.3">
      <c r="B25" s="15"/>
      <c r="C25" s="15"/>
      <c r="D25" s="15"/>
      <c r="E25" s="15"/>
      <c r="F25" s="15"/>
      <c r="G25" s="15"/>
      <c r="H25" s="15"/>
      <c r="I25" s="15"/>
      <c r="J25" s="15"/>
      <c r="P25" s="4"/>
    </row>
    <row r="26" spans="2:17" ht="45" x14ac:dyDescent="0.25">
      <c r="D26" s="12" t="s">
        <v>25</v>
      </c>
      <c r="E26" s="14" t="str">
        <f>IF(simulacion!$V$13&gt;=2,"Al año de iniciar la construcción","")</f>
        <v>Al año de iniciar la construcción</v>
      </c>
      <c r="F26" s="14" t="str">
        <f>IF(simulacion!$V$13&gt;=3,"A los dos años de iniciar la  construcción","")</f>
        <v>A los dos años de iniciar la  construcción</v>
      </c>
      <c r="G26" s="14" t="str">
        <f>IF(simulacion!$V$13&gt;=4,"A los tres años de  iniciar la construcción","")</f>
        <v/>
      </c>
      <c r="H26" s="14" t="str">
        <f>IF(simulacion!$V$13&gt;=5,"A los cuatro años de iniciar la construcción","")</f>
        <v/>
      </c>
      <c r="I26" s="12" t="s">
        <v>17</v>
      </c>
    </row>
    <row r="27" spans="2:17" x14ac:dyDescent="0.25">
      <c r="B27" s="1" t="s">
        <v>22</v>
      </c>
      <c r="D27" s="6"/>
      <c r="E27" s="7"/>
      <c r="F27" s="7"/>
      <c r="G27" s="7"/>
      <c r="H27" s="7"/>
      <c r="I27" s="13">
        <f>IF(P15=1,D27,IF(P15=2,SUM(D27:E27),IF(P15=3,SUM(D27:F27),IF(P15=4,SUM(D27:G27),SUM(D27:H27)))))</f>
        <v>0</v>
      </c>
      <c r="J27" s="5" t="str">
        <f>IF(OR(I27&gt;100%,I27&lt;100%),"ATENCIÓN! La suma de porcentajes de las casillas con fondo verde debe ser el 100%","")</f>
        <v>ATENCIÓN! La suma de porcentajes de las casillas con fondo verde debe ser el 100%</v>
      </c>
    </row>
    <row r="28" spans="2:17" ht="14.45" x14ac:dyDescent="0.3">
      <c r="B28" s="11" t="s">
        <v>18</v>
      </c>
    </row>
    <row r="30" spans="2:17" x14ac:dyDescent="0.25">
      <c r="B30" s="1" t="s">
        <v>57</v>
      </c>
      <c r="D30" s="6"/>
      <c r="E30" s="7"/>
      <c r="F30" s="7"/>
      <c r="G30" s="7"/>
      <c r="H30" s="7"/>
      <c r="I30" s="13">
        <f>IF(P18=1,D30,IF(P18=2,SUM(D30:E30),IF(P18=3,SUM(D30:F30),IF(P18=4,SUM(D30:G30),SUM(D30:H30)))))</f>
        <v>0</v>
      </c>
      <c r="J30" s="5" t="str">
        <f>IF(OR(I30&gt;100%,I30&lt;100%),"ATENCIÓN! La suma de porcentajes de las casillas con fondo verde debe ser el 100%","")</f>
        <v>ATENCIÓN! La suma de porcentajes de las casillas con fondo verde debe ser el 100%</v>
      </c>
    </row>
    <row r="31" spans="2:17" ht="14.45" x14ac:dyDescent="0.3">
      <c r="B31" s="11" t="s">
        <v>18</v>
      </c>
    </row>
  </sheetData>
  <sheetProtection password="81C4" sheet="1" objects="1" scenarios="1" selectLockedCells="1"/>
  <hyperlinks>
    <hyperlink ref="J11" r:id="rId1"/>
  </hyperlinks>
  <pageMargins left="0.7" right="0.7" top="0.75" bottom="0.75" header="0.3" footer="0.3"/>
  <pageSetup paperSize="9" orientation="portrait" r:id="rId2"/>
  <ignoredErrors>
    <ignoredError sqref="C12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5" name="Drop Down 1">
              <controlPr locked="0" defaultSize="0" autoLine="0" autoPict="0">
                <anchor moveWithCells="1">
                  <from>
                    <xdr:col>3</xdr:col>
                    <xdr:colOff>38100</xdr:colOff>
                    <xdr:row>22</xdr:row>
                    <xdr:rowOff>180975</xdr:rowOff>
                  </from>
                  <to>
                    <xdr:col>5</xdr:col>
                    <xdr:colOff>371475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3BB60B99-4934-904F-A039-7A2701EB6D70}">
            <xm:f>simulacion!$V$13&gt;=4</xm:f>
            <x14:dxf>
              <fill>
                <patternFill>
                  <bgColor theme="7" tint="0.39994506668294322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expression" priority="11" id="{C6477879-A22C-074C-9C82-3F092E57DEA0}">
            <xm:f>simulacion!$V$13&gt;=5</xm:f>
            <x14:dxf>
              <fill>
                <patternFill>
                  <bgColor theme="7" tint="0.39994506668294322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expression" priority="13" id="{2E5AE964-D221-C843-9D4D-7223C05E1BC9}">
            <xm:f>simulacion!$V$13&gt;=3</xm:f>
            <x14:dxf>
              <fill>
                <patternFill>
                  <bgColor theme="7" tint="0.39994506668294322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10" id="{CD6F143E-167F-7B4F-90F6-B5C6BF0143D9}">
            <xm:f>simulacion!$V$13&gt;=2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expression" priority="7" id="{EB76AF9A-C9B6-2E49-A78C-9C3B1995A39F}">
            <xm:f>simulacion!$V$13&gt;=4</xm:f>
            <x14:dxf>
              <fill>
                <patternFill>
                  <bgColor theme="9" tint="0.59996337778862885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expression" priority="6" id="{3E8D18B0-C449-AC49-A55C-335995717718}">
            <xm:f>simulacion!$V$13&gt;=5</xm:f>
            <x14:dxf>
              <fill>
                <patternFill>
                  <bgColor theme="9" tint="0.59996337778862885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8" id="{C8B5C9D4-ED7A-D34C-9E79-16C2F110D7C6}">
            <xm:f>simulacion!$V$13&gt;=3</xm:f>
            <x14:dxf>
              <fill>
                <patternFill>
                  <bgColor theme="9" tint="0.59996337778862885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5" id="{550B0802-4A38-BC49-AAFF-2E9A6100C38E}">
            <xm:f>simulacion!$V$13&gt;=2</xm:f>
            <x14:dxf>
              <fill>
                <patternFill>
                  <bgColor theme="9" tint="0.59996337778862885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expression" priority="3" id="{95A2C83D-0021-2E4E-BAC3-8599F64BB608}">
            <xm:f>simulacion!$V$13&gt;=4</xm:f>
            <x14:dxf>
              <fill>
                <patternFill>
                  <bgColor theme="9" tint="0.59996337778862885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2" id="{C75E6B08-4BDB-3E4B-B12D-F5FB8E3E4D59}">
            <xm:f>simulacion!$V$13&gt;=5</xm:f>
            <x14:dxf>
              <fill>
                <patternFill>
                  <bgColor theme="9" tint="0.59996337778862885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4" id="{16BA9522-B28B-3C45-A642-74B4FB8D61C5}">
            <xm:f>simulacion!$V$13&gt;=3</xm:f>
            <x14:dxf>
              <fill>
                <patternFill>
                  <bgColor theme="9" tint="0.59996337778862885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1" id="{7D4860B0-1E84-AD40-A412-38CEF0C3FD57}">
            <xm:f>simulacion!$V$13&gt;=2</xm:f>
            <x14:dxf>
              <fill>
                <patternFill>
                  <bgColor theme="9" tint="0.59996337778862885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70" zoomScaleNormal="70" workbookViewId="0">
      <selection activeCell="E13" sqref="E13"/>
    </sheetView>
  </sheetViews>
  <sheetFormatPr baseColWidth="10" defaultColWidth="11.42578125" defaultRowHeight="15" x14ac:dyDescent="0.25"/>
  <cols>
    <col min="1" max="1" width="1.85546875" style="1" customWidth="1"/>
    <col min="2" max="2" width="58.7109375" style="1" customWidth="1"/>
    <col min="3" max="9" width="15.85546875" style="1" customWidth="1"/>
    <col min="10" max="10" width="13" style="1" customWidth="1"/>
    <col min="11" max="11" width="13.42578125" style="1" customWidth="1"/>
    <col min="12" max="12" width="12.85546875" style="1" customWidth="1"/>
    <col min="13" max="13" width="13.28515625" style="1" customWidth="1"/>
    <col min="14" max="16384" width="11.42578125" style="1"/>
  </cols>
  <sheetData>
    <row r="1" spans="1:11" ht="14.45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4.45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4.45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4.45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4.4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4.45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4.45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4.45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4.45" x14ac:dyDescent="0.3">
      <c r="A9" s="15"/>
    </row>
    <row r="10" spans="1:11" s="9" customFormat="1" ht="11.45" customHeight="1" x14ac:dyDescent="0.3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s="9" customFormat="1" ht="25.7" customHeight="1" x14ac:dyDescent="0.5">
      <c r="B11" s="35" t="str">
        <f>IF(simulacion!S22=1,"ESCENARIOS - PROYECTO INICIAL CALIFICACIÓN ENERGÉTICA B",IF(simulacion!S22=2,"ESCENARIOS - PROYECTO INICIAL CALIFICACIÓN ENERGÉTICA C","ESCENARIOS - PROYECTO INICIAL CALIFICACIÓN ENERGÉTICA D"))</f>
        <v>ESCENARIOS - PROYECTO INICIAL CALIFICACIÓN ENERGÉTICA B</v>
      </c>
      <c r="C11" s="36"/>
      <c r="D11" s="36"/>
      <c r="E11" s="36"/>
      <c r="F11" s="36"/>
      <c r="G11" s="36"/>
      <c r="H11" s="36"/>
      <c r="I11" s="36"/>
      <c r="J11" s="36"/>
      <c r="K11" s="1"/>
    </row>
    <row r="12" spans="1:11" s="9" customFormat="1" ht="25.7" customHeight="1" x14ac:dyDescent="0.3">
      <c r="K12" s="1"/>
    </row>
    <row r="13" spans="1:11" s="9" customFormat="1" ht="25.7" customHeight="1" x14ac:dyDescent="0.25">
      <c r="B13" s="9" t="s">
        <v>79</v>
      </c>
      <c r="E13" s="37"/>
      <c r="K13" s="1"/>
    </row>
    <row r="14" spans="1:11" s="9" customFormat="1" ht="25.7" customHeight="1" x14ac:dyDescent="0.25">
      <c r="B14" s="9" t="s">
        <v>78</v>
      </c>
      <c r="E14" s="37"/>
      <c r="K14" s="1"/>
    </row>
    <row r="15" spans="1:11" s="9" customFormat="1" ht="18" customHeight="1" x14ac:dyDescent="0.3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s="9" customFormat="1" ht="48.95" customHeight="1" x14ac:dyDescent="0.25">
      <c r="B16" s="1"/>
      <c r="C16" s="1"/>
      <c r="D16" s="19" t="s">
        <v>25</v>
      </c>
      <c r="E16" s="20" t="s">
        <v>42</v>
      </c>
      <c r="F16" s="20" t="s">
        <v>14</v>
      </c>
      <c r="G16" s="20" t="s">
        <v>15</v>
      </c>
      <c r="H16" s="20" t="s">
        <v>16</v>
      </c>
      <c r="I16" s="19" t="s">
        <v>17</v>
      </c>
      <c r="J16" s="1"/>
      <c r="K16" s="1"/>
    </row>
    <row r="17" spans="2:17" x14ac:dyDescent="0.25">
      <c r="B17" s="1" t="s">
        <v>40</v>
      </c>
      <c r="D17" s="26">
        <f>'1. Inicial'!D27</f>
        <v>0</v>
      </c>
      <c r="E17" s="26">
        <f>IF(M18&gt;=2,'1. Inicial'!E27,0%)</f>
        <v>0</v>
      </c>
      <c r="F17" s="26">
        <f>IF(M18&gt;=3,'1. Inicial'!F27,0%)</f>
        <v>0</v>
      </c>
      <c r="G17" s="26">
        <f>IF(M18&gt;=4,'1. Inicial'!G27,0)</f>
        <v>0</v>
      </c>
      <c r="H17" s="26">
        <f>IF(M18=5,'1. Inicial'!H27,0)</f>
        <v>0</v>
      </c>
      <c r="I17" s="13">
        <f>SUM(D17:H17)</f>
        <v>0</v>
      </c>
    </row>
    <row r="18" spans="2:17" x14ac:dyDescent="0.25">
      <c r="B18" s="1" t="s">
        <v>41</v>
      </c>
      <c r="D18" s="25">
        <f>simulacion!I36</f>
        <v>0</v>
      </c>
      <c r="E18" s="25">
        <f>simulacion!J36</f>
        <v>0</v>
      </c>
      <c r="F18" s="25">
        <f>simulacion!K36</f>
        <v>0</v>
      </c>
      <c r="G18" s="25">
        <f>simulacion!L36</f>
        <v>0</v>
      </c>
      <c r="H18" s="25">
        <f>simulacion!M36</f>
        <v>0</v>
      </c>
      <c r="I18" s="13">
        <f>SUM(D18:H18)</f>
        <v>0</v>
      </c>
      <c r="M18" s="38">
        <f>simulacion!S13</f>
        <v>3</v>
      </c>
    </row>
    <row r="19" spans="2:17" x14ac:dyDescent="0.25">
      <c r="B19" s="1" t="s">
        <v>39</v>
      </c>
      <c r="D19" s="25">
        <f>simulacion!I44</f>
        <v>0</v>
      </c>
      <c r="E19" s="25">
        <f>simulacion!J44</f>
        <v>0</v>
      </c>
      <c r="F19" s="25">
        <f>simulacion!K44</f>
        <v>0</v>
      </c>
      <c r="G19" s="25">
        <f>simulacion!L44</f>
        <v>1</v>
      </c>
      <c r="H19" s="25">
        <f>simulacion!M44</f>
        <v>0</v>
      </c>
      <c r="I19" s="13">
        <f>SUM(D19:H19)</f>
        <v>1</v>
      </c>
    </row>
    <row r="20" spans="2:17" ht="14.45" x14ac:dyDescent="0.3">
      <c r="D20" s="3"/>
      <c r="E20" s="3"/>
      <c r="F20" s="3"/>
      <c r="G20" s="3"/>
      <c r="H20" s="3"/>
    </row>
    <row r="21" spans="2:17" ht="33.950000000000003" customHeight="1" x14ac:dyDescent="0.3">
      <c r="D21" s="3"/>
      <c r="E21" s="3"/>
      <c r="F21" s="3"/>
      <c r="G21" s="3"/>
      <c r="H21" s="3"/>
    </row>
    <row r="22" spans="2:17" ht="41.1" customHeight="1" x14ac:dyDescent="0.25">
      <c r="C22" s="19" t="s">
        <v>58</v>
      </c>
      <c r="D22" s="19" t="s">
        <v>25</v>
      </c>
      <c r="E22" s="19" t="s">
        <v>42</v>
      </c>
      <c r="F22" s="19" t="s">
        <v>14</v>
      </c>
      <c r="G22" s="19" t="s">
        <v>15</v>
      </c>
      <c r="H22" s="19" t="s">
        <v>16</v>
      </c>
    </row>
    <row r="23" spans="2:17" x14ac:dyDescent="0.25">
      <c r="B23" s="28" t="s">
        <v>43</v>
      </c>
      <c r="C23" s="29">
        <f>IF('1. Inicial'!$C$13&gt;0,-'1. Inicial'!$C$13,'1. Inicial'!$C$13)</f>
        <v>0</v>
      </c>
      <c r="D23" s="30">
        <f>simulacion!I28</f>
        <v>0</v>
      </c>
      <c r="E23" s="30">
        <f>simulacion!J28</f>
        <v>0</v>
      </c>
      <c r="F23" s="30">
        <f>simulacion!K28</f>
        <v>0</v>
      </c>
      <c r="G23" s="30">
        <f>simulacion!L28</f>
        <v>0</v>
      </c>
      <c r="H23" s="30">
        <f>simulacion!M28</f>
        <v>0</v>
      </c>
      <c r="I23" s="27"/>
    </row>
    <row r="24" spans="2:17" ht="14.45" x14ac:dyDescent="0.3">
      <c r="B24" s="21" t="s">
        <v>46</v>
      </c>
      <c r="C24" s="21"/>
      <c r="D24" s="22">
        <f>simulacion!I23</f>
        <v>0</v>
      </c>
      <c r="E24" s="22">
        <f>simulacion!J23</f>
        <v>0</v>
      </c>
      <c r="F24" s="22">
        <f>simulacion!K23</f>
        <v>0</v>
      </c>
      <c r="G24" s="22">
        <f>simulacion!L23</f>
        <v>0</v>
      </c>
      <c r="H24" s="22">
        <f>simulacion!M23</f>
        <v>0</v>
      </c>
    </row>
    <row r="25" spans="2:17" ht="14.45" x14ac:dyDescent="0.3">
      <c r="B25" s="23" t="s">
        <v>47</v>
      </c>
      <c r="C25" s="23"/>
      <c r="D25" s="24">
        <f>simulacion!I24</f>
        <v>0</v>
      </c>
      <c r="E25" s="24">
        <f>simulacion!J24</f>
        <v>0</v>
      </c>
      <c r="F25" s="24">
        <f>simulacion!K24</f>
        <v>0</v>
      </c>
      <c r="G25" s="24">
        <f>simulacion!L24</f>
        <v>0</v>
      </c>
      <c r="H25" s="24">
        <f>simulacion!M24</f>
        <v>0</v>
      </c>
    </row>
    <row r="26" spans="2:17" x14ac:dyDescent="0.25">
      <c r="B26" s="28" t="s">
        <v>44</v>
      </c>
      <c r="C26" s="29">
        <f>IF('1. Inicial'!$C$13&gt;0,-'1. Inicial'!$C$13,'1. Inicial'!$C$13)</f>
        <v>0</v>
      </c>
      <c r="D26" s="30">
        <f>simulacion!I55</f>
        <v>0</v>
      </c>
      <c r="E26" s="30">
        <f>simulacion!J55</f>
        <v>0</v>
      </c>
      <c r="F26" s="30">
        <f>simulacion!K55</f>
        <v>0</v>
      </c>
      <c r="G26" s="30">
        <f>simulacion!L55</f>
        <v>0</v>
      </c>
      <c r="H26" s="30">
        <f>simulacion!M55</f>
        <v>0</v>
      </c>
      <c r="I26" s="27"/>
      <c r="Q26" s="4"/>
    </row>
    <row r="27" spans="2:17" ht="14.45" x14ac:dyDescent="0.3">
      <c r="B27" s="21" t="s">
        <v>46</v>
      </c>
      <c r="D27" s="22">
        <f>simulacion!I50</f>
        <v>0</v>
      </c>
      <c r="E27" s="22">
        <f>simulacion!J50</f>
        <v>0</v>
      </c>
      <c r="F27" s="22">
        <f>simulacion!K50</f>
        <v>0</v>
      </c>
      <c r="G27" s="22">
        <f>simulacion!L50</f>
        <v>0</v>
      </c>
      <c r="H27" s="22">
        <f>simulacion!M50</f>
        <v>0</v>
      </c>
      <c r="Q27" s="4"/>
    </row>
    <row r="28" spans="2:17" ht="14.45" x14ac:dyDescent="0.3">
      <c r="B28" s="23" t="s">
        <v>47</v>
      </c>
      <c r="D28" s="24">
        <f>simulacion!I51</f>
        <v>0</v>
      </c>
      <c r="E28" s="24">
        <f>simulacion!J51</f>
        <v>0</v>
      </c>
      <c r="F28" s="24">
        <f>simulacion!K51</f>
        <v>0</v>
      </c>
      <c r="G28" s="24">
        <f>simulacion!L51</f>
        <v>0</v>
      </c>
      <c r="H28" s="24">
        <f>simulacion!M51</f>
        <v>0</v>
      </c>
      <c r="Q28" s="4"/>
    </row>
    <row r="29" spans="2:17" x14ac:dyDescent="0.25">
      <c r="B29" s="28" t="s">
        <v>45</v>
      </c>
      <c r="C29" s="29">
        <f>IF('1. Inicial'!$C$13&gt;0,-'1. Inicial'!$C$13,'1. Inicial'!$C$13)</f>
        <v>0</v>
      </c>
      <c r="D29" s="30">
        <f>simulacion!I65</f>
        <v>0</v>
      </c>
      <c r="E29" s="30">
        <f>simulacion!J65</f>
        <v>0</v>
      </c>
      <c r="F29" s="30">
        <f>simulacion!K65</f>
        <v>0</v>
      </c>
      <c r="G29" s="30">
        <f>simulacion!L65</f>
        <v>0</v>
      </c>
      <c r="H29" s="30">
        <f>simulacion!M65</f>
        <v>0</v>
      </c>
      <c r="I29" s="27"/>
    </row>
    <row r="30" spans="2:17" ht="14.45" x14ac:dyDescent="0.3">
      <c r="B30" s="21" t="s">
        <v>46</v>
      </c>
      <c r="D30" s="22">
        <f>simulacion!I60</f>
        <v>0</v>
      </c>
      <c r="E30" s="22">
        <f>simulacion!J60</f>
        <v>0</v>
      </c>
      <c r="F30" s="22">
        <f>simulacion!K60</f>
        <v>0</v>
      </c>
      <c r="G30" s="22">
        <f>simulacion!L60</f>
        <v>0</v>
      </c>
      <c r="H30" s="22">
        <f>simulacion!M60</f>
        <v>0</v>
      </c>
    </row>
    <row r="31" spans="2:17" ht="14.45" x14ac:dyDescent="0.3">
      <c r="B31" s="23" t="s">
        <v>47</v>
      </c>
      <c r="D31" s="24">
        <f>simulacion!I61</f>
        <v>0</v>
      </c>
      <c r="E31" s="24">
        <f>simulacion!J61</f>
        <v>0</v>
      </c>
      <c r="F31" s="24">
        <f>simulacion!K61</f>
        <v>0</v>
      </c>
      <c r="G31" s="24">
        <f>simulacion!L61</f>
        <v>0</v>
      </c>
      <c r="H31" s="24">
        <f>simulacion!M61</f>
        <v>0</v>
      </c>
      <c r="P31" s="4"/>
    </row>
    <row r="32" spans="2:17" ht="14.45" x14ac:dyDescent="0.3">
      <c r="B32" s="23"/>
      <c r="P32" s="4"/>
    </row>
    <row r="33" spans="2:13" ht="14.45" x14ac:dyDescent="0.3">
      <c r="C33" s="31" t="e">
        <f>IRR(C26:H26,0.1)</f>
        <v>#NUM!</v>
      </c>
      <c r="D33" s="32"/>
      <c r="E33" s="33" t="e">
        <f>IRR(C29:H29,0.1)</f>
        <v>#NUM!</v>
      </c>
    </row>
    <row r="34" spans="2:13" ht="26.25" x14ac:dyDescent="0.4">
      <c r="B34" s="35" t="s">
        <v>98</v>
      </c>
      <c r="C34" s="36"/>
      <c r="D34" s="36"/>
      <c r="E34" s="36"/>
      <c r="F34" s="36"/>
      <c r="G34" s="36"/>
      <c r="H34" s="36"/>
      <c r="I34" s="36"/>
      <c r="J34" s="36"/>
    </row>
    <row r="35" spans="2:13" ht="14.45" x14ac:dyDescent="0.3">
      <c r="L35" s="4"/>
      <c r="M35" s="4"/>
    </row>
    <row r="36" spans="2:13" ht="18.95" customHeight="1" x14ac:dyDescent="0.25">
      <c r="B36" s="9" t="s">
        <v>80</v>
      </c>
      <c r="C36" s="9"/>
      <c r="D36" s="9"/>
      <c r="E36" s="37"/>
      <c r="L36" s="4"/>
      <c r="M36" s="4"/>
    </row>
    <row r="37" spans="2:13" ht="21.95" customHeight="1" x14ac:dyDescent="0.25">
      <c r="B37" s="9" t="s">
        <v>78</v>
      </c>
      <c r="C37" s="9"/>
      <c r="D37" s="9"/>
      <c r="E37" s="37"/>
      <c r="L37" s="4"/>
      <c r="M37" s="4"/>
    </row>
    <row r="40" spans="2:13" ht="45" x14ac:dyDescent="0.25">
      <c r="D40" s="19" t="s">
        <v>25</v>
      </c>
      <c r="E40" s="20" t="s">
        <v>42</v>
      </c>
      <c r="F40" s="20" t="s">
        <v>14</v>
      </c>
      <c r="G40" s="20" t="s">
        <v>15</v>
      </c>
      <c r="H40" s="20" t="s">
        <v>16</v>
      </c>
      <c r="I40" s="19" t="s">
        <v>17</v>
      </c>
    </row>
    <row r="41" spans="2:13" x14ac:dyDescent="0.25">
      <c r="B41" s="1" t="s">
        <v>40</v>
      </c>
      <c r="D41" s="26">
        <f>simulacion!I85</f>
        <v>0</v>
      </c>
      <c r="E41" s="26">
        <f>simulacion!J85</f>
        <v>0</v>
      </c>
      <c r="F41" s="26">
        <f>simulacion!K85</f>
        <v>0</v>
      </c>
      <c r="G41" s="26">
        <f>simulacion!L85</f>
        <v>0</v>
      </c>
      <c r="H41" s="26">
        <f>simulacion!M85</f>
        <v>0</v>
      </c>
      <c r="I41" s="13">
        <f>SUM(D41:H41)</f>
        <v>0</v>
      </c>
    </row>
    <row r="42" spans="2:13" x14ac:dyDescent="0.25">
      <c r="B42" s="1" t="s">
        <v>41</v>
      </c>
      <c r="D42" s="25">
        <f>simulacion!I88</f>
        <v>0</v>
      </c>
      <c r="E42" s="25">
        <f>simulacion!J88</f>
        <v>0</v>
      </c>
      <c r="F42" s="25">
        <f>simulacion!K88</f>
        <v>0</v>
      </c>
      <c r="G42" s="25">
        <f>simulacion!L88</f>
        <v>0</v>
      </c>
      <c r="H42" s="25">
        <f>simulacion!M88</f>
        <v>0</v>
      </c>
      <c r="I42" s="13">
        <f>SUM(D42:H42)</f>
        <v>0</v>
      </c>
    </row>
    <row r="43" spans="2:13" x14ac:dyDescent="0.25">
      <c r="B43" s="1" t="s">
        <v>77</v>
      </c>
      <c r="D43" s="25">
        <f>simulacion!I96</f>
        <v>0</v>
      </c>
      <c r="E43" s="25">
        <f>simulacion!J96</f>
        <v>0</v>
      </c>
      <c r="F43" s="25">
        <f>simulacion!K96</f>
        <v>0</v>
      </c>
      <c r="G43" s="25">
        <f>simulacion!L96</f>
        <v>1</v>
      </c>
      <c r="H43" s="25">
        <f>simulacion!M96</f>
        <v>0</v>
      </c>
      <c r="I43" s="13">
        <f>SUM(D43:H43)</f>
        <v>1</v>
      </c>
    </row>
    <row r="44" spans="2:13" ht="14.45" x14ac:dyDescent="0.3">
      <c r="D44" s="3"/>
      <c r="E44" s="3"/>
      <c r="F44" s="3"/>
      <c r="G44" s="3"/>
      <c r="H44" s="3"/>
    </row>
    <row r="45" spans="2:13" ht="14.45" x14ac:dyDescent="0.3">
      <c r="D45" s="3"/>
      <c r="E45" s="3"/>
      <c r="F45" s="3"/>
      <c r="G45" s="3"/>
      <c r="H45" s="3"/>
    </row>
    <row r="46" spans="2:13" ht="45" x14ac:dyDescent="0.25">
      <c r="C46" s="19" t="s">
        <v>58</v>
      </c>
      <c r="D46" s="19" t="s">
        <v>25</v>
      </c>
      <c r="E46" s="19" t="s">
        <v>42</v>
      </c>
      <c r="F46" s="19" t="s">
        <v>14</v>
      </c>
      <c r="G46" s="19" t="s">
        <v>15</v>
      </c>
      <c r="H46" s="19" t="s">
        <v>16</v>
      </c>
    </row>
    <row r="47" spans="2:13" x14ac:dyDescent="0.25">
      <c r="B47" s="28" t="s">
        <v>43</v>
      </c>
      <c r="C47" s="29">
        <f>IF('1. Inicial'!$C$13&gt;0,-'1. Inicial'!$C$13,'1. Inicial'!$C$13)</f>
        <v>0</v>
      </c>
      <c r="D47" s="30">
        <f>simulacion!I79</f>
        <v>0</v>
      </c>
      <c r="E47" s="30">
        <f>simulacion!J79</f>
        <v>0</v>
      </c>
      <c r="F47" s="30">
        <f>simulacion!K79</f>
        <v>0</v>
      </c>
      <c r="G47" s="30">
        <f>simulacion!L79</f>
        <v>0</v>
      </c>
      <c r="H47" s="30">
        <f>simulacion!M79</f>
        <v>0</v>
      </c>
      <c r="I47" s="27"/>
    </row>
    <row r="48" spans="2:13" ht="14.45" x14ac:dyDescent="0.3">
      <c r="B48" s="21" t="s">
        <v>46</v>
      </c>
      <c r="C48" s="21"/>
      <c r="D48" s="22">
        <f>simulacion!I75</f>
        <v>0</v>
      </c>
      <c r="E48" s="22">
        <f>simulacion!J75</f>
        <v>0</v>
      </c>
      <c r="F48" s="22">
        <f>simulacion!K75</f>
        <v>0</v>
      </c>
      <c r="G48" s="22">
        <f>simulacion!L75</f>
        <v>0</v>
      </c>
      <c r="H48" s="22">
        <f>simulacion!M75</f>
        <v>0</v>
      </c>
    </row>
    <row r="49" spans="2:9" ht="14.45" x14ac:dyDescent="0.3">
      <c r="B49" s="23" t="s">
        <v>47</v>
      </c>
      <c r="C49" s="23"/>
      <c r="D49" s="24">
        <f>simulacion!I76</f>
        <v>0</v>
      </c>
      <c r="E49" s="24">
        <f>simulacion!J76</f>
        <v>0</v>
      </c>
      <c r="F49" s="24">
        <f>simulacion!K76</f>
        <v>0</v>
      </c>
      <c r="G49" s="24">
        <f>simulacion!L76</f>
        <v>0</v>
      </c>
      <c r="H49" s="24">
        <f>simulacion!M76</f>
        <v>0</v>
      </c>
    </row>
    <row r="50" spans="2:9" x14ac:dyDescent="0.25">
      <c r="B50" s="28" t="s">
        <v>44</v>
      </c>
      <c r="C50" s="29">
        <f>IF('1. Inicial'!$C$13&gt;0,-'1. Inicial'!$C$13,'1. Inicial'!$C$13)</f>
        <v>0</v>
      </c>
      <c r="D50" s="30">
        <f>simulacion!I106</f>
        <v>0</v>
      </c>
      <c r="E50" s="30">
        <f>simulacion!J106</f>
        <v>0</v>
      </c>
      <c r="F50" s="30">
        <f>simulacion!K106</f>
        <v>0</v>
      </c>
      <c r="G50" s="30">
        <f>simulacion!L106</f>
        <v>0</v>
      </c>
      <c r="H50" s="30">
        <f>simulacion!M106</f>
        <v>0</v>
      </c>
      <c r="I50" s="27"/>
    </row>
    <row r="51" spans="2:9" ht="14.45" x14ac:dyDescent="0.3">
      <c r="B51" s="21" t="s">
        <v>46</v>
      </c>
      <c r="D51" s="22">
        <f>simulacion!I102</f>
        <v>0</v>
      </c>
      <c r="E51" s="22">
        <f>simulacion!J102</f>
        <v>0</v>
      </c>
      <c r="F51" s="22">
        <f>simulacion!K102</f>
        <v>0</v>
      </c>
      <c r="G51" s="22">
        <f>simulacion!L102</f>
        <v>0</v>
      </c>
      <c r="H51" s="22">
        <f>simulacion!M102</f>
        <v>0</v>
      </c>
    </row>
    <row r="52" spans="2:9" ht="14.45" x14ac:dyDescent="0.3">
      <c r="B52" s="23" t="s">
        <v>47</v>
      </c>
      <c r="D52" s="24">
        <f>simulacion!I103</f>
        <v>0</v>
      </c>
      <c r="E52" s="24">
        <f>simulacion!J103</f>
        <v>0</v>
      </c>
      <c r="F52" s="24">
        <f>simulacion!K103</f>
        <v>0</v>
      </c>
      <c r="G52" s="24">
        <f>simulacion!L103</f>
        <v>0</v>
      </c>
      <c r="H52" s="24">
        <f>simulacion!M103</f>
        <v>0</v>
      </c>
    </row>
    <row r="53" spans="2:9" x14ac:dyDescent="0.25">
      <c r="B53" s="28" t="s">
        <v>45</v>
      </c>
      <c r="C53" s="29">
        <f>IF('1. Inicial'!$C$13&gt;0,-'1. Inicial'!$C$13,'1. Inicial'!$C$13)</f>
        <v>0</v>
      </c>
      <c r="D53" s="30">
        <f>simulacion!I116</f>
        <v>0</v>
      </c>
      <c r="E53" s="30">
        <f>simulacion!J116</f>
        <v>0</v>
      </c>
      <c r="F53" s="30">
        <f>simulacion!K116</f>
        <v>0</v>
      </c>
      <c r="G53" s="30">
        <f>simulacion!L116</f>
        <v>0</v>
      </c>
      <c r="H53" s="30">
        <f>simulacion!M116</f>
        <v>0</v>
      </c>
      <c r="I53" s="27"/>
    </row>
    <row r="54" spans="2:9" ht="14.45" x14ac:dyDescent="0.3">
      <c r="B54" s="21" t="s">
        <v>46</v>
      </c>
      <c r="D54" s="22">
        <f>simulacion!I112</f>
        <v>0</v>
      </c>
      <c r="E54" s="22">
        <f>simulacion!J112</f>
        <v>0</v>
      </c>
      <c r="F54" s="22">
        <f>simulacion!K112</f>
        <v>0</v>
      </c>
      <c r="G54" s="22">
        <f>simulacion!L112</f>
        <v>0</v>
      </c>
      <c r="H54" s="22">
        <f>simulacion!M112</f>
        <v>0</v>
      </c>
    </row>
    <row r="55" spans="2:9" ht="14.45" x14ac:dyDescent="0.3">
      <c r="B55" s="23" t="s">
        <v>47</v>
      </c>
      <c r="D55" s="24">
        <f>simulacion!I113</f>
        <v>0</v>
      </c>
      <c r="E55" s="24">
        <f>simulacion!J113</f>
        <v>0</v>
      </c>
      <c r="F55" s="24">
        <f>simulacion!K113</f>
        <v>0</v>
      </c>
      <c r="G55" s="24">
        <f>simulacion!L113</f>
        <v>0</v>
      </c>
      <c r="H55" s="24">
        <f>simulacion!M113</f>
        <v>0</v>
      </c>
    </row>
  </sheetData>
  <sheetProtection algorithmName="SHA-512" hashValue="K0WkHk1FvoC9MMiwAxWFBx42FVqRSrV8PsPlXKhTDrwVDXSRwsiMnxJ32OtM2D2hh08pNwJItldrXoCjotGpPw==" saltValue="IyY86Y57BRhEB2c/E8zpzQ==" spinCount="100000" sheet="1" objects="1" scenarios="1" selectLockedCells="1"/>
  <pageMargins left="0" right="0" top="0" bottom="0" header="0" footer="0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D1B5D604-0A3F-F348-AB08-F308992312F5}">
            <xm:f>simulacion!$S$13&gt;=2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3" id="{63B39B72-6946-46FE-BAD1-0356016B1AC3}">
            <xm:f>simulacion!$S$13&gt;=2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</x14:dxf>
          </x14:cfRule>
          <xm:sqref>F16:H16</xm:sqref>
        </x14:conditionalFormatting>
        <x14:conditionalFormatting xmlns:xm="http://schemas.microsoft.com/office/excel/2006/main">
          <x14:cfRule type="expression" priority="2" id="{EC2C88D2-2271-47DD-AD70-C59883A503EB}">
            <xm:f>simulacion!$S$13&gt;=2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</x14:dxf>
          </x14:cfRule>
          <xm:sqref>E40</xm:sqref>
        </x14:conditionalFormatting>
        <x14:conditionalFormatting xmlns:xm="http://schemas.microsoft.com/office/excel/2006/main">
          <x14:cfRule type="expression" priority="1" id="{E10C3A25-2C9E-4F94-B2E0-F3AB9BD5F434}">
            <xm:f>simulacion!$S$13&gt;=2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</x14:dxf>
          </x14:cfRule>
          <xm:sqref>F40:H40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92"/>
  <sheetViews>
    <sheetView zoomScale="70" zoomScaleNormal="70" workbookViewId="0">
      <selection activeCell="C20" sqref="C20"/>
    </sheetView>
  </sheetViews>
  <sheetFormatPr baseColWidth="10" defaultColWidth="10.85546875" defaultRowHeight="15" x14ac:dyDescent="0.25"/>
  <cols>
    <col min="1" max="1" width="1.7109375" style="1" customWidth="1"/>
    <col min="2" max="2" width="46.85546875" style="1" customWidth="1"/>
    <col min="3" max="7" width="15.85546875" style="1" customWidth="1"/>
    <col min="8" max="16384" width="10.85546875" style="1"/>
  </cols>
  <sheetData>
    <row r="2" spans="2:17" ht="14.45" x14ac:dyDescent="0.3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7" ht="14.45" x14ac:dyDescent="0.3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7" ht="14.45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2:17" ht="14.45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2:17" ht="14.45" x14ac:dyDescent="0.3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2:17" ht="14.45" x14ac:dyDescent="0.3"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2:17" ht="14.45" x14ac:dyDescent="0.3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17" ht="21" x14ac:dyDescent="0.35">
      <c r="B9" s="39" t="s">
        <v>82</v>
      </c>
      <c r="C9" s="40"/>
      <c r="D9" s="40"/>
      <c r="E9" s="40"/>
      <c r="F9" s="40"/>
      <c r="G9" s="40"/>
      <c r="H9" s="40"/>
      <c r="I9" s="40"/>
      <c r="J9" s="40"/>
      <c r="K9" s="40"/>
      <c r="L9" s="9"/>
      <c r="M9" s="9"/>
      <c r="N9" s="9"/>
      <c r="O9" s="9"/>
      <c r="P9" s="9"/>
      <c r="Q9" s="9"/>
    </row>
    <row r="10" spans="2:17" ht="14.45" x14ac:dyDescent="0.3">
      <c r="C10" s="15"/>
      <c r="L10" s="9"/>
      <c r="M10" s="9"/>
      <c r="N10" s="9"/>
      <c r="O10" s="9"/>
      <c r="P10" s="9"/>
      <c r="Q10" s="9"/>
    </row>
    <row r="13" spans="2:17" ht="48.95" customHeight="1" x14ac:dyDescent="0.25">
      <c r="C13" s="42" t="s">
        <v>83</v>
      </c>
      <c r="D13" s="42" t="s">
        <v>86</v>
      </c>
      <c r="E13" s="42" t="s">
        <v>90</v>
      </c>
      <c r="F13" s="42" t="s">
        <v>91</v>
      </c>
      <c r="G13" s="42" t="s">
        <v>92</v>
      </c>
    </row>
    <row r="14" spans="2:17" s="9" customFormat="1" ht="20.100000000000001" customHeight="1" x14ac:dyDescent="0.3">
      <c r="B14" s="45" t="s">
        <v>81</v>
      </c>
      <c r="C14" s="43" t="str">
        <f>IF(simulacion!S22=1,"B",IF(simulacion!S22=2,"C","D"))</f>
        <v>B</v>
      </c>
      <c r="D14" s="44">
        <f>'1. Inicial'!C11</f>
        <v>0</v>
      </c>
      <c r="E14" s="45"/>
      <c r="F14" s="48" t="e">
        <f>simulacion!H16</f>
        <v>#DIV/0!</v>
      </c>
      <c r="G14" s="45"/>
    </row>
    <row r="15" spans="2:17" s="9" customFormat="1" ht="20.100000000000001" customHeight="1" x14ac:dyDescent="0.3">
      <c r="B15" s="45" t="s">
        <v>84</v>
      </c>
      <c r="C15" s="43" t="s">
        <v>85</v>
      </c>
      <c r="D15" s="44">
        <f>'2. CalificaciónA'!C11</f>
        <v>0</v>
      </c>
      <c r="E15" s="46" t="e">
        <f>(D15-D14)/D14</f>
        <v>#DIV/0!</v>
      </c>
      <c r="F15" s="48" t="e">
        <f>simulacion!I16</f>
        <v>#DIV/0!</v>
      </c>
      <c r="G15" s="46" t="e">
        <f>(F15-F14)/F14</f>
        <v>#DIV/0!</v>
      </c>
      <c r="H15" s="47" t="e">
        <f>IF(E15&lt;=0%,"ATENCIÓN: Revise sus datos  sobre coste medio por m2 construido (PEM)","")</f>
        <v>#DIV/0!</v>
      </c>
    </row>
    <row r="19" spans="2:9" ht="14.45" x14ac:dyDescent="0.3">
      <c r="C19" s="50" t="s">
        <v>87</v>
      </c>
      <c r="D19" s="50" t="s">
        <v>88</v>
      </c>
      <c r="E19" s="50" t="s">
        <v>89</v>
      </c>
    </row>
    <row r="20" spans="2:9" x14ac:dyDescent="0.25">
      <c r="B20" s="1" t="s">
        <v>93</v>
      </c>
      <c r="C20" s="49"/>
      <c r="D20" s="49"/>
      <c r="E20" s="49"/>
      <c r="F20" s="1" t="s">
        <v>94</v>
      </c>
    </row>
    <row r="25" spans="2:9" ht="14.45" x14ac:dyDescent="0.3">
      <c r="B25" s="50"/>
      <c r="C25" s="50"/>
      <c r="D25" s="50"/>
      <c r="E25" s="50"/>
    </row>
    <row r="26" spans="2:9" x14ac:dyDescent="0.25">
      <c r="B26" s="54" t="s">
        <v>97</v>
      </c>
      <c r="C26" s="58" t="s">
        <v>87</v>
      </c>
      <c r="D26" s="58" t="s">
        <v>88</v>
      </c>
      <c r="E26" s="58" t="s">
        <v>89</v>
      </c>
    </row>
    <row r="27" spans="2:9" s="9" customFormat="1" ht="24.95" customHeight="1" x14ac:dyDescent="0.3">
      <c r="B27" s="9" t="str">
        <f>IF(simulacion!$S$22=1,"     Para el proyecto inicial con calificación energética B",IF(simulacion!$S$22=2,"     Para el proyecto inicial con calificación energética C","     Para el proyecto inicial con calificación energética D"))</f>
        <v xml:space="preserve">     Para el proyecto inicial con calificación energética B</v>
      </c>
      <c r="C27" s="52">
        <f>'3. Escenarios'!$C$26+NPV('4. Comparativa'!C20,'3. Escenarios'!$D$26:$H$26)</f>
        <v>0</v>
      </c>
      <c r="D27" s="52">
        <f>'3. Escenarios'!$C$23+NPV('4. Comparativa'!D20,'3. Escenarios'!$D$23:$H$23)</f>
        <v>0</v>
      </c>
      <c r="E27" s="52">
        <f>'3. Escenarios'!$C$29+NPV('4. Comparativa'!E20,'3. Escenarios'!$D$29:$H$29)</f>
        <v>0</v>
      </c>
      <c r="G27" s="57" t="e">
        <f>IRR('3. Escenarios'!$C$26:$H$26,0.1)</f>
        <v>#NUM!</v>
      </c>
      <c r="H27" s="57" t="e">
        <f>IRR('3. Escenarios'!$C$23:$H$23,0.1)</f>
        <v>#NUM!</v>
      </c>
      <c r="I27" s="57" t="e">
        <f>IRR('3. Escenarios'!$C$29:$H$29,0.1)</f>
        <v>#NUM!</v>
      </c>
    </row>
    <row r="28" spans="2:9" s="9" customFormat="1" ht="24.95" customHeight="1" x14ac:dyDescent="0.25">
      <c r="B28" s="9" t="s">
        <v>95</v>
      </c>
      <c r="C28" s="52">
        <f>'3. Escenarios'!$C$50+NPV('4. Comparativa'!C20,'3. Escenarios'!$D$50:$H$50)</f>
        <v>0</v>
      </c>
      <c r="D28" s="52">
        <f>'3. Escenarios'!$C$47+NPV('4. Comparativa'!D20,'3. Escenarios'!$D$47:$H$47)</f>
        <v>0</v>
      </c>
      <c r="E28" s="52">
        <f>'3. Escenarios'!$C$53+NPV('4. Comparativa'!E20,'3. Escenarios'!$D$53:$H$53)</f>
        <v>0</v>
      </c>
      <c r="G28" s="57" t="e">
        <f>IRR('3. Escenarios'!$C$50:$H$50,0.1)</f>
        <v>#NUM!</v>
      </c>
      <c r="H28" s="57" t="e">
        <f>IRR('3. Escenarios'!$C$47:$H$47,0.1)</f>
        <v>#NUM!</v>
      </c>
      <c r="I28" s="57" t="e">
        <f>IRR('3. Escenarios'!$C$53:$H$53,0.1)</f>
        <v>#NUM!</v>
      </c>
    </row>
    <row r="29" spans="2:9" s="9" customFormat="1" ht="24.95" customHeight="1" x14ac:dyDescent="0.25">
      <c r="B29" s="9" t="s">
        <v>99</v>
      </c>
      <c r="C29" s="53" t="e">
        <f>(C28-C27)/C27</f>
        <v>#DIV/0!</v>
      </c>
      <c r="D29" s="53" t="e">
        <f t="shared" ref="D29:E29" si="0">(D28-D27)/D27</f>
        <v>#DIV/0!</v>
      </c>
      <c r="E29" s="53" t="e">
        <f t="shared" si="0"/>
        <v>#DIV/0!</v>
      </c>
    </row>
    <row r="31" spans="2:9" x14ac:dyDescent="0.25">
      <c r="B31" s="54" t="s">
        <v>96</v>
      </c>
      <c r="C31" s="58" t="s">
        <v>87</v>
      </c>
      <c r="D31" s="58" t="s">
        <v>88</v>
      </c>
      <c r="E31" s="58" t="s">
        <v>89</v>
      </c>
    </row>
    <row r="32" spans="2:9" ht="24.95" customHeight="1" x14ac:dyDescent="0.3">
      <c r="B32" s="9" t="str">
        <f>IF(simulacion!$S$22=1,"     Para el proyecto inicial con calificación energética B",IF(simulacion!$S$22=2,"     Para el proyecto inicial con calificación energética C","     Para el proyecto inicial con calificación energética D"))</f>
        <v xml:space="preserve">     Para el proyecto inicial con calificación energética B</v>
      </c>
      <c r="C32" s="55" t="e">
        <f t="shared" ref="C32:E33" si="1">IF(G27&gt;=0%,G27,"&lt;N/D&gt;")</f>
        <v>#NUM!</v>
      </c>
      <c r="D32" s="55" t="e">
        <f t="shared" si="1"/>
        <v>#NUM!</v>
      </c>
      <c r="E32" s="55" t="e">
        <f t="shared" si="1"/>
        <v>#NUM!</v>
      </c>
    </row>
    <row r="33" spans="2:19" ht="24.95" customHeight="1" x14ac:dyDescent="0.25">
      <c r="B33" s="9" t="s">
        <v>95</v>
      </c>
      <c r="C33" s="55" t="e">
        <f t="shared" si="1"/>
        <v>#NUM!</v>
      </c>
      <c r="D33" s="55" t="e">
        <f t="shared" si="1"/>
        <v>#NUM!</v>
      </c>
      <c r="E33" s="55" t="e">
        <f t="shared" si="1"/>
        <v>#NUM!</v>
      </c>
    </row>
    <row r="34" spans="2:19" ht="24.95" customHeight="1" x14ac:dyDescent="0.25">
      <c r="B34" s="9" t="s">
        <v>100</v>
      </c>
      <c r="C34" s="55" t="e">
        <f>IF(AND(G27&gt;0,G28&gt;0),(G28-G27)/G27,"&lt;N/D&gt;")</f>
        <v>#NUM!</v>
      </c>
      <c r="D34" s="55" t="e">
        <f>IF(AND(H27&gt;0,H28&gt;0),(H28-H27)/H27,"&lt;N/D&gt;")</f>
        <v>#NUM!</v>
      </c>
      <c r="E34" s="55" t="e">
        <f>IF(AND(I27&gt;0,I28&gt;0),(I28-I27)/I27,"&lt;N/D&gt;")</f>
        <v>#NUM!</v>
      </c>
    </row>
    <row r="35" spans="2:19" ht="14.45" x14ac:dyDescent="0.3">
      <c r="B35" s="50"/>
      <c r="C35" s="50"/>
      <c r="D35" s="50"/>
      <c r="E35" s="50"/>
    </row>
    <row r="36" spans="2:19" x14ac:dyDescent="0.25">
      <c r="B36" s="56" t="s">
        <v>101</v>
      </c>
    </row>
    <row r="38" spans="2:19" x14ac:dyDescent="0.25">
      <c r="B38" s="51" t="s">
        <v>106</v>
      </c>
    </row>
    <row r="41" spans="2:19" ht="14.45" x14ac:dyDescent="0.3">
      <c r="B41" s="60" t="str">
        <f>IF(OR($L$55&gt;$L$54,$M$55&gt;$M$54),"ATENCIÓN: posible problema de inconsistencia detectado en escenario realista","")</f>
        <v/>
      </c>
      <c r="C41" s="59"/>
    </row>
    <row r="42" spans="2:19" ht="14.45" x14ac:dyDescent="0.3">
      <c r="C42" s="59"/>
      <c r="K42" s="38" t="s">
        <v>103</v>
      </c>
      <c r="L42" s="38"/>
      <c r="M42" s="38"/>
      <c r="N42" s="38" t="s">
        <v>104</v>
      </c>
      <c r="O42" s="38"/>
      <c r="P42" s="38"/>
      <c r="Q42" s="38" t="s">
        <v>105</v>
      </c>
      <c r="R42" s="38"/>
      <c r="S42" s="38"/>
    </row>
    <row r="43" spans="2:19" ht="14.45" x14ac:dyDescent="0.3">
      <c r="K43" s="61" t="s">
        <v>102</v>
      </c>
      <c r="L43" s="61" t="s">
        <v>107</v>
      </c>
      <c r="M43" s="61" t="s">
        <v>108</v>
      </c>
      <c r="N43" s="61" t="s">
        <v>102</v>
      </c>
      <c r="O43" s="61" t="s">
        <v>107</v>
      </c>
      <c r="P43" s="61" t="s">
        <v>108</v>
      </c>
      <c r="Q43" s="61" t="s">
        <v>102</v>
      </c>
      <c r="R43" s="61" t="s">
        <v>107</v>
      </c>
      <c r="S43" s="61" t="s">
        <v>108</v>
      </c>
    </row>
    <row r="44" spans="2:19" ht="14.45" x14ac:dyDescent="0.3">
      <c r="K44" s="62">
        <f>0</f>
        <v>0</v>
      </c>
      <c r="L44" s="63">
        <f>'3. Escenarios'!$C$23+NPV('4. Comparativa'!K44,'3. Escenarios'!$D$23:$H$23)</f>
        <v>0</v>
      </c>
      <c r="M44" s="63">
        <f>'3. Escenarios'!$C$47+NPV('4. Comparativa'!K44,'3. Escenarios'!$D$47:$H$47)</f>
        <v>0</v>
      </c>
      <c r="N44" s="62">
        <f>0</f>
        <v>0</v>
      </c>
      <c r="O44" s="63">
        <f>'3. Escenarios'!$C$26+NPV('4. Comparativa'!N44,'3. Escenarios'!$D$26:$H$26)</f>
        <v>0</v>
      </c>
      <c r="P44" s="63">
        <f>'3. Escenarios'!$C$50+NPV('4. Comparativa'!N44,'3. Escenarios'!$D$50:$H$50)</f>
        <v>0</v>
      </c>
      <c r="Q44" s="62">
        <f>0</f>
        <v>0</v>
      </c>
      <c r="R44" s="63">
        <f>'3. Escenarios'!$C$29+NPV('4. Comparativa'!Q44,'3. Escenarios'!$D$29:$H$29)</f>
        <v>0</v>
      </c>
      <c r="S44" s="63">
        <f>'3. Escenarios'!$C$53+NPV('4. Comparativa'!Q44,'3. Escenarios'!$D$53:$H$53)</f>
        <v>0</v>
      </c>
    </row>
    <row r="45" spans="2:19" ht="14.45" x14ac:dyDescent="0.3">
      <c r="K45" s="62">
        <f>K44+0.0025</f>
        <v>2.5000000000000001E-3</v>
      </c>
      <c r="L45" s="63">
        <f>'3. Escenarios'!$C$23+NPV('4. Comparativa'!K45,'3. Escenarios'!$D$23:$H$23)</f>
        <v>0</v>
      </c>
      <c r="M45" s="63">
        <f>'3. Escenarios'!$C$47+NPV('4. Comparativa'!K45,'3. Escenarios'!$D$47:$H$47)</f>
        <v>0</v>
      </c>
      <c r="N45" s="62">
        <f>N44+0.0025</f>
        <v>2.5000000000000001E-3</v>
      </c>
      <c r="O45" s="63">
        <f>'3. Escenarios'!$C$26+NPV('4. Comparativa'!N45,'3. Escenarios'!$D$26:$H$26)</f>
        <v>0</v>
      </c>
      <c r="P45" s="63">
        <f>'3. Escenarios'!$C$50+NPV('4. Comparativa'!N45,'3. Escenarios'!$D$50:$H$50)</f>
        <v>0</v>
      </c>
      <c r="Q45" s="62">
        <f>Q44+0.0025</f>
        <v>2.5000000000000001E-3</v>
      </c>
      <c r="R45" s="63">
        <f>'3. Escenarios'!$C$29+NPV('4. Comparativa'!Q45,'3. Escenarios'!$D$29:$H$29)</f>
        <v>0</v>
      </c>
      <c r="S45" s="63">
        <f>'3. Escenarios'!$C$53+NPV('4. Comparativa'!Q45,'3. Escenarios'!$D$53:$H$53)</f>
        <v>0</v>
      </c>
    </row>
    <row r="46" spans="2:19" ht="14.45" x14ac:dyDescent="0.3">
      <c r="K46" s="62">
        <f t="shared" ref="K46:K84" si="2">K45+0.0025</f>
        <v>5.0000000000000001E-3</v>
      </c>
      <c r="L46" s="63">
        <f>'3. Escenarios'!$C$23+NPV('4. Comparativa'!K46,'3. Escenarios'!$D$23:$H$23)</f>
        <v>0</v>
      </c>
      <c r="M46" s="63">
        <f>'3. Escenarios'!$C$47+NPV('4. Comparativa'!K46,'3. Escenarios'!$D$47:$H$47)</f>
        <v>0</v>
      </c>
      <c r="N46" s="62">
        <f t="shared" ref="N46:N84" si="3">N45+0.0025</f>
        <v>5.0000000000000001E-3</v>
      </c>
      <c r="O46" s="63">
        <f>'3. Escenarios'!$C$26+NPV('4. Comparativa'!N46,'3. Escenarios'!$D$26:$H$26)</f>
        <v>0</v>
      </c>
      <c r="P46" s="63">
        <f>'3. Escenarios'!$C$50+NPV('4. Comparativa'!N46,'3. Escenarios'!$D$50:$H$50)</f>
        <v>0</v>
      </c>
      <c r="Q46" s="62">
        <f t="shared" ref="Q46:Q84" si="4">Q45+0.0025</f>
        <v>5.0000000000000001E-3</v>
      </c>
      <c r="R46" s="63">
        <f>'3. Escenarios'!$C$29+NPV('4. Comparativa'!Q46,'3. Escenarios'!$D$29:$H$29)</f>
        <v>0</v>
      </c>
      <c r="S46" s="63">
        <f>'3. Escenarios'!$C$53+NPV('4. Comparativa'!Q46,'3. Escenarios'!$D$53:$H$53)</f>
        <v>0</v>
      </c>
    </row>
    <row r="47" spans="2:19" ht="14.45" x14ac:dyDescent="0.3">
      <c r="K47" s="62">
        <f t="shared" si="2"/>
        <v>7.4999999999999997E-3</v>
      </c>
      <c r="L47" s="63">
        <f>'3. Escenarios'!$C$23+NPV('4. Comparativa'!K47,'3. Escenarios'!$D$23:$H$23)</f>
        <v>0</v>
      </c>
      <c r="M47" s="63">
        <f>'3. Escenarios'!$C$47+NPV('4. Comparativa'!K47,'3. Escenarios'!$D$47:$H$47)</f>
        <v>0</v>
      </c>
      <c r="N47" s="62">
        <f t="shared" si="3"/>
        <v>7.4999999999999997E-3</v>
      </c>
      <c r="O47" s="63">
        <f>'3. Escenarios'!$C$26+NPV('4. Comparativa'!N47,'3. Escenarios'!$D$26:$H$26)</f>
        <v>0</v>
      </c>
      <c r="P47" s="63">
        <f>'3. Escenarios'!$C$50+NPV('4. Comparativa'!N47,'3. Escenarios'!$D$50:$H$50)</f>
        <v>0</v>
      </c>
      <c r="Q47" s="62">
        <f t="shared" si="4"/>
        <v>7.4999999999999997E-3</v>
      </c>
      <c r="R47" s="63">
        <f>'3. Escenarios'!$C$29+NPV('4. Comparativa'!Q47,'3. Escenarios'!$D$29:$H$29)</f>
        <v>0</v>
      </c>
      <c r="S47" s="63">
        <f>'3. Escenarios'!$C$53+NPV('4. Comparativa'!Q47,'3. Escenarios'!$D$53:$H$53)</f>
        <v>0</v>
      </c>
    </row>
    <row r="48" spans="2:19" ht="14.45" x14ac:dyDescent="0.3">
      <c r="K48" s="62">
        <f t="shared" si="2"/>
        <v>0.01</v>
      </c>
      <c r="L48" s="63">
        <f>'3. Escenarios'!$C$23+NPV('4. Comparativa'!K48,'3. Escenarios'!$D$23:$H$23)</f>
        <v>0</v>
      </c>
      <c r="M48" s="63">
        <f>'3. Escenarios'!$C$47+NPV('4. Comparativa'!K48,'3. Escenarios'!$D$47:$H$47)</f>
        <v>0</v>
      </c>
      <c r="N48" s="62">
        <f t="shared" si="3"/>
        <v>0.01</v>
      </c>
      <c r="O48" s="63">
        <f>'3. Escenarios'!$C$26+NPV('4. Comparativa'!N48,'3. Escenarios'!$D$26:$H$26)</f>
        <v>0</v>
      </c>
      <c r="P48" s="63">
        <f>'3. Escenarios'!$C$50+NPV('4. Comparativa'!N48,'3. Escenarios'!$D$50:$H$50)</f>
        <v>0</v>
      </c>
      <c r="Q48" s="62">
        <f t="shared" si="4"/>
        <v>0.01</v>
      </c>
      <c r="R48" s="63">
        <f>'3. Escenarios'!$C$29+NPV('4. Comparativa'!Q48,'3. Escenarios'!$D$29:$H$29)</f>
        <v>0</v>
      </c>
      <c r="S48" s="63">
        <f>'3. Escenarios'!$C$53+NPV('4. Comparativa'!Q48,'3. Escenarios'!$D$53:$H$53)</f>
        <v>0</v>
      </c>
    </row>
    <row r="49" spans="11:19" ht="14.45" x14ac:dyDescent="0.3">
      <c r="K49" s="62">
        <f t="shared" si="2"/>
        <v>1.2500000000000001E-2</v>
      </c>
      <c r="L49" s="63">
        <f>'3. Escenarios'!$C$23+NPV('4. Comparativa'!K49,'3. Escenarios'!$D$23:$H$23)</f>
        <v>0</v>
      </c>
      <c r="M49" s="63">
        <f>'3. Escenarios'!$C$47+NPV('4. Comparativa'!K49,'3. Escenarios'!$D$47:$H$47)</f>
        <v>0</v>
      </c>
      <c r="N49" s="62">
        <f t="shared" si="3"/>
        <v>1.2500000000000001E-2</v>
      </c>
      <c r="O49" s="63">
        <f>'3. Escenarios'!$C$26+NPV('4. Comparativa'!N49,'3. Escenarios'!$D$26:$H$26)</f>
        <v>0</v>
      </c>
      <c r="P49" s="63">
        <f>'3. Escenarios'!$C$50+NPV('4. Comparativa'!N49,'3. Escenarios'!$D$50:$H$50)</f>
        <v>0</v>
      </c>
      <c r="Q49" s="62">
        <f t="shared" si="4"/>
        <v>1.2500000000000001E-2</v>
      </c>
      <c r="R49" s="63">
        <f>'3. Escenarios'!$C$29+NPV('4. Comparativa'!Q49,'3. Escenarios'!$D$29:$H$29)</f>
        <v>0</v>
      </c>
      <c r="S49" s="63">
        <f>'3. Escenarios'!$C$53+NPV('4. Comparativa'!Q49,'3. Escenarios'!$D$53:$H$53)</f>
        <v>0</v>
      </c>
    </row>
    <row r="50" spans="11:19" ht="14.45" x14ac:dyDescent="0.3">
      <c r="K50" s="62">
        <f t="shared" si="2"/>
        <v>1.5000000000000001E-2</v>
      </c>
      <c r="L50" s="63">
        <f>'3. Escenarios'!$C$23+NPV('4. Comparativa'!K50,'3. Escenarios'!$D$23:$H$23)</f>
        <v>0</v>
      </c>
      <c r="M50" s="63">
        <f>'3. Escenarios'!$C$47+NPV('4. Comparativa'!K50,'3. Escenarios'!$D$47:$H$47)</f>
        <v>0</v>
      </c>
      <c r="N50" s="62">
        <f t="shared" si="3"/>
        <v>1.5000000000000001E-2</v>
      </c>
      <c r="O50" s="63">
        <f>'3. Escenarios'!$C$26+NPV('4. Comparativa'!N50,'3. Escenarios'!$D$26:$H$26)</f>
        <v>0</v>
      </c>
      <c r="P50" s="63">
        <f>'3. Escenarios'!$C$50+NPV('4. Comparativa'!N50,'3. Escenarios'!$D$50:$H$50)</f>
        <v>0</v>
      </c>
      <c r="Q50" s="62">
        <f t="shared" si="4"/>
        <v>1.5000000000000001E-2</v>
      </c>
      <c r="R50" s="63">
        <f>'3. Escenarios'!$C$29+NPV('4. Comparativa'!Q50,'3. Escenarios'!$D$29:$H$29)</f>
        <v>0</v>
      </c>
      <c r="S50" s="63">
        <f>'3. Escenarios'!$C$53+NPV('4. Comparativa'!Q50,'3. Escenarios'!$D$53:$H$53)</f>
        <v>0</v>
      </c>
    </row>
    <row r="51" spans="11:19" ht="14.45" x14ac:dyDescent="0.3">
      <c r="K51" s="62">
        <f t="shared" si="2"/>
        <v>1.7500000000000002E-2</v>
      </c>
      <c r="L51" s="63">
        <f>'3. Escenarios'!$C$23+NPV('4. Comparativa'!K51,'3. Escenarios'!$D$23:$H$23)</f>
        <v>0</v>
      </c>
      <c r="M51" s="63">
        <f>'3. Escenarios'!$C$47+NPV('4. Comparativa'!K51,'3. Escenarios'!$D$47:$H$47)</f>
        <v>0</v>
      </c>
      <c r="N51" s="62">
        <f t="shared" si="3"/>
        <v>1.7500000000000002E-2</v>
      </c>
      <c r="O51" s="63">
        <f>'3. Escenarios'!$C$26+NPV('4. Comparativa'!N51,'3. Escenarios'!$D$26:$H$26)</f>
        <v>0</v>
      </c>
      <c r="P51" s="63">
        <f>'3. Escenarios'!$C$50+NPV('4. Comparativa'!N51,'3. Escenarios'!$D$50:$H$50)</f>
        <v>0</v>
      </c>
      <c r="Q51" s="62">
        <f t="shared" si="4"/>
        <v>1.7500000000000002E-2</v>
      </c>
      <c r="R51" s="63">
        <f>'3. Escenarios'!$C$29+NPV('4. Comparativa'!Q51,'3. Escenarios'!$D$29:$H$29)</f>
        <v>0</v>
      </c>
      <c r="S51" s="63">
        <f>'3. Escenarios'!$C$53+NPV('4. Comparativa'!Q51,'3. Escenarios'!$D$53:$H$53)</f>
        <v>0</v>
      </c>
    </row>
    <row r="52" spans="11:19" ht="14.45" x14ac:dyDescent="0.3">
      <c r="K52" s="62">
        <f t="shared" si="2"/>
        <v>0.02</v>
      </c>
      <c r="L52" s="63">
        <f>'3. Escenarios'!$C$23+NPV('4. Comparativa'!K52,'3. Escenarios'!$D$23:$H$23)</f>
        <v>0</v>
      </c>
      <c r="M52" s="63">
        <f>'3. Escenarios'!$C$47+NPV('4. Comparativa'!K52,'3. Escenarios'!$D$47:$H$47)</f>
        <v>0</v>
      </c>
      <c r="N52" s="62">
        <f t="shared" si="3"/>
        <v>0.02</v>
      </c>
      <c r="O52" s="63">
        <f>'3. Escenarios'!$C$26+NPV('4. Comparativa'!N52,'3. Escenarios'!$D$26:$H$26)</f>
        <v>0</v>
      </c>
      <c r="P52" s="63">
        <f>'3. Escenarios'!$C$50+NPV('4. Comparativa'!N52,'3. Escenarios'!$D$50:$H$50)</f>
        <v>0</v>
      </c>
      <c r="Q52" s="62">
        <f t="shared" si="4"/>
        <v>0.02</v>
      </c>
      <c r="R52" s="63">
        <f>'3. Escenarios'!$C$29+NPV('4. Comparativa'!Q52,'3. Escenarios'!$D$29:$H$29)</f>
        <v>0</v>
      </c>
      <c r="S52" s="63">
        <f>'3. Escenarios'!$C$53+NPV('4. Comparativa'!Q52,'3. Escenarios'!$D$53:$H$53)</f>
        <v>0</v>
      </c>
    </row>
    <row r="53" spans="11:19" ht="14.45" x14ac:dyDescent="0.3">
      <c r="K53" s="62">
        <f t="shared" si="2"/>
        <v>2.2499999999999999E-2</v>
      </c>
      <c r="L53" s="63">
        <f>'3. Escenarios'!$C$23+NPV('4. Comparativa'!K53,'3. Escenarios'!$D$23:$H$23)</f>
        <v>0</v>
      </c>
      <c r="M53" s="63">
        <f>'3. Escenarios'!$C$47+NPV('4. Comparativa'!K53,'3. Escenarios'!$D$47:$H$47)</f>
        <v>0</v>
      </c>
      <c r="N53" s="62">
        <f t="shared" si="3"/>
        <v>2.2499999999999999E-2</v>
      </c>
      <c r="O53" s="63">
        <f>'3. Escenarios'!$C$26+NPV('4. Comparativa'!N53,'3. Escenarios'!$D$26:$H$26)</f>
        <v>0</v>
      </c>
      <c r="P53" s="63">
        <f>'3. Escenarios'!$C$50+NPV('4. Comparativa'!N53,'3. Escenarios'!$D$50:$H$50)</f>
        <v>0</v>
      </c>
      <c r="Q53" s="62">
        <f t="shared" si="4"/>
        <v>2.2499999999999999E-2</v>
      </c>
      <c r="R53" s="63">
        <f>'3. Escenarios'!$C$29+NPV('4. Comparativa'!Q53,'3. Escenarios'!$D$29:$H$29)</f>
        <v>0</v>
      </c>
      <c r="S53" s="63">
        <f>'3. Escenarios'!$C$53+NPV('4. Comparativa'!Q53,'3. Escenarios'!$D$53:$H$53)</f>
        <v>0</v>
      </c>
    </row>
    <row r="54" spans="11:19" ht="14.45" x14ac:dyDescent="0.3">
      <c r="K54" s="62">
        <f t="shared" si="2"/>
        <v>2.4999999999999998E-2</v>
      </c>
      <c r="L54" s="63">
        <f>'3. Escenarios'!$C$23+NPV('4. Comparativa'!K54,'3. Escenarios'!$D$23:$H$23)</f>
        <v>0</v>
      </c>
      <c r="M54" s="63">
        <f>'3. Escenarios'!$C$47+NPV('4. Comparativa'!K54,'3. Escenarios'!$D$47:$H$47)</f>
        <v>0</v>
      </c>
      <c r="N54" s="62">
        <f t="shared" si="3"/>
        <v>2.4999999999999998E-2</v>
      </c>
      <c r="O54" s="63">
        <f>'3. Escenarios'!$C$26+NPV('4. Comparativa'!N54,'3. Escenarios'!$D$26:$H$26)</f>
        <v>0</v>
      </c>
      <c r="P54" s="63">
        <f>'3. Escenarios'!$C$50+NPV('4. Comparativa'!N54,'3. Escenarios'!$D$50:$H$50)</f>
        <v>0</v>
      </c>
      <c r="Q54" s="62">
        <f t="shared" si="4"/>
        <v>2.4999999999999998E-2</v>
      </c>
      <c r="R54" s="63">
        <f>'3. Escenarios'!$C$29+NPV('4. Comparativa'!Q54,'3. Escenarios'!$D$29:$H$29)</f>
        <v>0</v>
      </c>
      <c r="S54" s="63">
        <f>'3. Escenarios'!$C$53+NPV('4. Comparativa'!Q54,'3. Escenarios'!$D$53:$H$53)</f>
        <v>0</v>
      </c>
    </row>
    <row r="55" spans="11:19" ht="14.45" x14ac:dyDescent="0.3">
      <c r="K55" s="62">
        <f t="shared" si="2"/>
        <v>2.7499999999999997E-2</v>
      </c>
      <c r="L55" s="63">
        <f>'3. Escenarios'!$C$23+NPV('4. Comparativa'!K55,'3. Escenarios'!$D$23:$H$23)</f>
        <v>0</v>
      </c>
      <c r="M55" s="63">
        <f>'3. Escenarios'!$C$47+NPV('4. Comparativa'!K55,'3. Escenarios'!$D$47:$H$47)</f>
        <v>0</v>
      </c>
      <c r="N55" s="62">
        <f t="shared" si="3"/>
        <v>2.7499999999999997E-2</v>
      </c>
      <c r="O55" s="63">
        <f>'3. Escenarios'!$C$26+NPV('4. Comparativa'!N55,'3. Escenarios'!$D$26:$H$26)</f>
        <v>0</v>
      </c>
      <c r="P55" s="63">
        <f>'3. Escenarios'!$C$50+NPV('4. Comparativa'!N55,'3. Escenarios'!$D$50:$H$50)</f>
        <v>0</v>
      </c>
      <c r="Q55" s="62">
        <f t="shared" si="4"/>
        <v>2.7499999999999997E-2</v>
      </c>
      <c r="R55" s="63">
        <f>'3. Escenarios'!$C$29+NPV('4. Comparativa'!Q55,'3. Escenarios'!$D$29:$H$29)</f>
        <v>0</v>
      </c>
      <c r="S55" s="63">
        <f>'3. Escenarios'!$C$53+NPV('4. Comparativa'!Q55,'3. Escenarios'!$D$53:$H$53)</f>
        <v>0</v>
      </c>
    </row>
    <row r="56" spans="11:19" ht="14.45" x14ac:dyDescent="0.3">
      <c r="K56" s="62">
        <f t="shared" si="2"/>
        <v>2.9999999999999995E-2</v>
      </c>
      <c r="L56" s="63">
        <f>'3. Escenarios'!$C$23+NPV('4. Comparativa'!K56,'3. Escenarios'!$D$23:$H$23)</f>
        <v>0</v>
      </c>
      <c r="M56" s="63">
        <f>'3. Escenarios'!$C$47+NPV('4. Comparativa'!K56,'3. Escenarios'!$D$47:$H$47)</f>
        <v>0</v>
      </c>
      <c r="N56" s="62">
        <f t="shared" si="3"/>
        <v>2.9999999999999995E-2</v>
      </c>
      <c r="O56" s="63">
        <f>'3. Escenarios'!$C$26+NPV('4. Comparativa'!N56,'3. Escenarios'!$D$26:$H$26)</f>
        <v>0</v>
      </c>
      <c r="P56" s="63">
        <f>'3. Escenarios'!$C$50+NPV('4. Comparativa'!N56,'3. Escenarios'!$D$50:$H$50)</f>
        <v>0</v>
      </c>
      <c r="Q56" s="62">
        <f t="shared" si="4"/>
        <v>2.9999999999999995E-2</v>
      </c>
      <c r="R56" s="63">
        <f>'3. Escenarios'!$C$29+NPV('4. Comparativa'!Q56,'3. Escenarios'!$D$29:$H$29)</f>
        <v>0</v>
      </c>
      <c r="S56" s="63">
        <f>'3. Escenarios'!$C$53+NPV('4. Comparativa'!Q56,'3. Escenarios'!$D$53:$H$53)</f>
        <v>0</v>
      </c>
    </row>
    <row r="57" spans="11:19" ht="14.45" x14ac:dyDescent="0.3">
      <c r="K57" s="62">
        <f t="shared" si="2"/>
        <v>3.2499999999999994E-2</v>
      </c>
      <c r="L57" s="63">
        <f>'3. Escenarios'!$C$23+NPV('4. Comparativa'!K57,'3. Escenarios'!$D$23:$H$23)</f>
        <v>0</v>
      </c>
      <c r="M57" s="63">
        <f>'3. Escenarios'!$C$47+NPV('4. Comparativa'!K57,'3. Escenarios'!$D$47:$H$47)</f>
        <v>0</v>
      </c>
      <c r="N57" s="62">
        <f t="shared" si="3"/>
        <v>3.2499999999999994E-2</v>
      </c>
      <c r="O57" s="63">
        <f>'3. Escenarios'!$C$26+NPV('4. Comparativa'!N57,'3. Escenarios'!$D$26:$H$26)</f>
        <v>0</v>
      </c>
      <c r="P57" s="63">
        <f>'3. Escenarios'!$C$50+NPV('4. Comparativa'!N57,'3. Escenarios'!$D$50:$H$50)</f>
        <v>0</v>
      </c>
      <c r="Q57" s="62">
        <f t="shared" si="4"/>
        <v>3.2499999999999994E-2</v>
      </c>
      <c r="R57" s="63">
        <f>'3. Escenarios'!$C$29+NPV('4. Comparativa'!Q57,'3. Escenarios'!$D$29:$H$29)</f>
        <v>0</v>
      </c>
      <c r="S57" s="63">
        <f>'3. Escenarios'!$C$53+NPV('4. Comparativa'!Q57,'3. Escenarios'!$D$53:$H$53)</f>
        <v>0</v>
      </c>
    </row>
    <row r="58" spans="11:19" ht="14.45" x14ac:dyDescent="0.3">
      <c r="K58" s="62">
        <f t="shared" si="2"/>
        <v>3.4999999999999996E-2</v>
      </c>
      <c r="L58" s="63">
        <f>'3. Escenarios'!$C$23+NPV('4. Comparativa'!K58,'3. Escenarios'!$D$23:$H$23)</f>
        <v>0</v>
      </c>
      <c r="M58" s="63">
        <f>'3. Escenarios'!$C$47+NPV('4. Comparativa'!K58,'3. Escenarios'!$D$47:$H$47)</f>
        <v>0</v>
      </c>
      <c r="N58" s="62">
        <f t="shared" si="3"/>
        <v>3.4999999999999996E-2</v>
      </c>
      <c r="O58" s="63">
        <f>'3. Escenarios'!$C$26+NPV('4. Comparativa'!N58,'3. Escenarios'!$D$26:$H$26)</f>
        <v>0</v>
      </c>
      <c r="P58" s="63">
        <f>'3. Escenarios'!$C$50+NPV('4. Comparativa'!N58,'3. Escenarios'!$D$50:$H$50)</f>
        <v>0</v>
      </c>
      <c r="Q58" s="62">
        <f t="shared" si="4"/>
        <v>3.4999999999999996E-2</v>
      </c>
      <c r="R58" s="63">
        <f>'3. Escenarios'!$C$29+NPV('4. Comparativa'!Q58,'3. Escenarios'!$D$29:$H$29)</f>
        <v>0</v>
      </c>
      <c r="S58" s="63">
        <f>'3. Escenarios'!$C$53+NPV('4. Comparativa'!Q58,'3. Escenarios'!$D$53:$H$53)</f>
        <v>0</v>
      </c>
    </row>
    <row r="59" spans="11:19" ht="14.45" x14ac:dyDescent="0.3">
      <c r="K59" s="62">
        <f t="shared" si="2"/>
        <v>3.7499999999999999E-2</v>
      </c>
      <c r="L59" s="63">
        <f>'3. Escenarios'!$C$23+NPV('4. Comparativa'!K59,'3. Escenarios'!$D$23:$H$23)</f>
        <v>0</v>
      </c>
      <c r="M59" s="63">
        <f>'3. Escenarios'!$C$47+NPV('4. Comparativa'!K59,'3. Escenarios'!$D$47:$H$47)</f>
        <v>0</v>
      </c>
      <c r="N59" s="62">
        <f t="shared" si="3"/>
        <v>3.7499999999999999E-2</v>
      </c>
      <c r="O59" s="63">
        <f>'3. Escenarios'!$C$26+NPV('4. Comparativa'!N59,'3. Escenarios'!$D$26:$H$26)</f>
        <v>0</v>
      </c>
      <c r="P59" s="63">
        <f>'3. Escenarios'!$C$50+NPV('4. Comparativa'!N59,'3. Escenarios'!$D$50:$H$50)</f>
        <v>0</v>
      </c>
      <c r="Q59" s="62">
        <f t="shared" si="4"/>
        <v>3.7499999999999999E-2</v>
      </c>
      <c r="R59" s="63">
        <f>'3. Escenarios'!$C$29+NPV('4. Comparativa'!Q59,'3. Escenarios'!$D$29:$H$29)</f>
        <v>0</v>
      </c>
      <c r="S59" s="63">
        <f>'3. Escenarios'!$C$53+NPV('4. Comparativa'!Q59,'3. Escenarios'!$D$53:$H$53)</f>
        <v>0</v>
      </c>
    </row>
    <row r="60" spans="11:19" ht="14.45" x14ac:dyDescent="0.3">
      <c r="K60" s="62">
        <f t="shared" si="2"/>
        <v>0.04</v>
      </c>
      <c r="L60" s="63">
        <f>'3. Escenarios'!$C$23+NPV('4. Comparativa'!K60,'3. Escenarios'!$D$23:$H$23)</f>
        <v>0</v>
      </c>
      <c r="M60" s="63">
        <f>'3. Escenarios'!$C$47+NPV('4. Comparativa'!K60,'3. Escenarios'!$D$47:$H$47)</f>
        <v>0</v>
      </c>
      <c r="N60" s="62">
        <f t="shared" si="3"/>
        <v>0.04</v>
      </c>
      <c r="O60" s="63">
        <f>'3. Escenarios'!$C$26+NPV('4. Comparativa'!N60,'3. Escenarios'!$D$26:$H$26)</f>
        <v>0</v>
      </c>
      <c r="P60" s="63">
        <f>'3. Escenarios'!$C$50+NPV('4. Comparativa'!N60,'3. Escenarios'!$D$50:$H$50)</f>
        <v>0</v>
      </c>
      <c r="Q60" s="62">
        <f t="shared" si="4"/>
        <v>0.04</v>
      </c>
      <c r="R60" s="63">
        <f>'3. Escenarios'!$C$29+NPV('4. Comparativa'!Q60,'3. Escenarios'!$D$29:$H$29)</f>
        <v>0</v>
      </c>
      <c r="S60" s="63">
        <f>'3. Escenarios'!$C$53+NPV('4. Comparativa'!Q60,'3. Escenarios'!$D$53:$H$53)</f>
        <v>0</v>
      </c>
    </row>
    <row r="61" spans="11:19" ht="14.45" x14ac:dyDescent="0.3">
      <c r="K61" s="62">
        <f t="shared" si="2"/>
        <v>4.2500000000000003E-2</v>
      </c>
      <c r="L61" s="63">
        <f>'3. Escenarios'!$C$23+NPV('4. Comparativa'!K61,'3. Escenarios'!$D$23:$H$23)</f>
        <v>0</v>
      </c>
      <c r="M61" s="63">
        <f>'3. Escenarios'!$C$47+NPV('4. Comparativa'!K61,'3. Escenarios'!$D$47:$H$47)</f>
        <v>0</v>
      </c>
      <c r="N61" s="62">
        <f t="shared" si="3"/>
        <v>4.2500000000000003E-2</v>
      </c>
      <c r="O61" s="63">
        <f>'3. Escenarios'!$C$26+NPV('4. Comparativa'!N61,'3. Escenarios'!$D$26:$H$26)</f>
        <v>0</v>
      </c>
      <c r="P61" s="63">
        <f>'3. Escenarios'!$C$50+NPV('4. Comparativa'!N61,'3. Escenarios'!$D$50:$H$50)</f>
        <v>0</v>
      </c>
      <c r="Q61" s="62">
        <f t="shared" si="4"/>
        <v>4.2500000000000003E-2</v>
      </c>
      <c r="R61" s="63">
        <f>'3. Escenarios'!$C$29+NPV('4. Comparativa'!Q61,'3. Escenarios'!$D$29:$H$29)</f>
        <v>0</v>
      </c>
      <c r="S61" s="63">
        <f>'3. Escenarios'!$C$53+NPV('4. Comparativa'!Q61,'3. Escenarios'!$D$53:$H$53)</f>
        <v>0</v>
      </c>
    </row>
    <row r="62" spans="11:19" ht="14.45" x14ac:dyDescent="0.3">
      <c r="K62" s="62">
        <f t="shared" si="2"/>
        <v>4.5000000000000005E-2</v>
      </c>
      <c r="L62" s="63">
        <f>'3. Escenarios'!$C$23+NPV('4. Comparativa'!K62,'3. Escenarios'!$D$23:$H$23)</f>
        <v>0</v>
      </c>
      <c r="M62" s="63">
        <f>'3. Escenarios'!$C$47+NPV('4. Comparativa'!K62,'3. Escenarios'!$D$47:$H$47)</f>
        <v>0</v>
      </c>
      <c r="N62" s="62">
        <f t="shared" si="3"/>
        <v>4.5000000000000005E-2</v>
      </c>
      <c r="O62" s="63">
        <f>'3. Escenarios'!$C$26+NPV('4. Comparativa'!N62,'3. Escenarios'!$D$26:$H$26)</f>
        <v>0</v>
      </c>
      <c r="P62" s="63">
        <f>'3. Escenarios'!$C$50+NPV('4. Comparativa'!N62,'3. Escenarios'!$D$50:$H$50)</f>
        <v>0</v>
      </c>
      <c r="Q62" s="62">
        <f t="shared" si="4"/>
        <v>4.5000000000000005E-2</v>
      </c>
      <c r="R62" s="63">
        <f>'3. Escenarios'!$C$29+NPV('4. Comparativa'!Q62,'3. Escenarios'!$D$29:$H$29)</f>
        <v>0</v>
      </c>
      <c r="S62" s="63">
        <f>'3. Escenarios'!$C$53+NPV('4. Comparativa'!Q62,'3. Escenarios'!$D$53:$H$53)</f>
        <v>0</v>
      </c>
    </row>
    <row r="63" spans="11:19" ht="14.45" x14ac:dyDescent="0.3">
      <c r="K63" s="62">
        <f t="shared" si="2"/>
        <v>4.7500000000000007E-2</v>
      </c>
      <c r="L63" s="63">
        <f>'3. Escenarios'!$C$23+NPV('4. Comparativa'!K63,'3. Escenarios'!$D$23:$H$23)</f>
        <v>0</v>
      </c>
      <c r="M63" s="63">
        <f>'3. Escenarios'!$C$47+NPV('4. Comparativa'!K63,'3. Escenarios'!$D$47:$H$47)</f>
        <v>0</v>
      </c>
      <c r="N63" s="62">
        <f t="shared" si="3"/>
        <v>4.7500000000000007E-2</v>
      </c>
      <c r="O63" s="63">
        <f>'3. Escenarios'!$C$26+NPV('4. Comparativa'!N63,'3. Escenarios'!$D$26:$H$26)</f>
        <v>0</v>
      </c>
      <c r="P63" s="63">
        <f>'3. Escenarios'!$C$50+NPV('4. Comparativa'!N63,'3. Escenarios'!$D$50:$H$50)</f>
        <v>0</v>
      </c>
      <c r="Q63" s="62">
        <f t="shared" si="4"/>
        <v>4.7500000000000007E-2</v>
      </c>
      <c r="R63" s="63">
        <f>'3. Escenarios'!$C$29+NPV('4. Comparativa'!Q63,'3. Escenarios'!$D$29:$H$29)</f>
        <v>0</v>
      </c>
      <c r="S63" s="63">
        <f>'3. Escenarios'!$C$53+NPV('4. Comparativa'!Q63,'3. Escenarios'!$D$53:$H$53)</f>
        <v>0</v>
      </c>
    </row>
    <row r="64" spans="11:19" ht="14.45" x14ac:dyDescent="0.3">
      <c r="K64" s="62">
        <f t="shared" si="2"/>
        <v>5.000000000000001E-2</v>
      </c>
      <c r="L64" s="63">
        <f>'3. Escenarios'!$C$23+NPV('4. Comparativa'!K64,'3. Escenarios'!$D$23:$H$23)</f>
        <v>0</v>
      </c>
      <c r="M64" s="63">
        <f>'3. Escenarios'!$C$47+NPV('4. Comparativa'!K64,'3. Escenarios'!$D$47:$H$47)</f>
        <v>0</v>
      </c>
      <c r="N64" s="62">
        <f t="shared" si="3"/>
        <v>5.000000000000001E-2</v>
      </c>
      <c r="O64" s="63">
        <f>'3. Escenarios'!$C$26+NPV('4. Comparativa'!N64,'3. Escenarios'!$D$26:$H$26)</f>
        <v>0</v>
      </c>
      <c r="P64" s="63">
        <f>'3. Escenarios'!$C$50+NPV('4. Comparativa'!N64,'3. Escenarios'!$D$50:$H$50)</f>
        <v>0</v>
      </c>
      <c r="Q64" s="62">
        <f t="shared" si="4"/>
        <v>5.000000000000001E-2</v>
      </c>
      <c r="R64" s="63">
        <f>'3. Escenarios'!$C$29+NPV('4. Comparativa'!Q64,'3. Escenarios'!$D$29:$H$29)</f>
        <v>0</v>
      </c>
      <c r="S64" s="63">
        <f>'3. Escenarios'!$C$53+NPV('4. Comparativa'!Q64,'3. Escenarios'!$D$53:$H$53)</f>
        <v>0</v>
      </c>
    </row>
    <row r="65" spans="2:19" ht="14.45" x14ac:dyDescent="0.3">
      <c r="K65" s="62">
        <f t="shared" si="2"/>
        <v>5.2500000000000012E-2</v>
      </c>
      <c r="L65" s="63">
        <f>'3. Escenarios'!$C$23+NPV('4. Comparativa'!K65,'3. Escenarios'!$D$23:$H$23)</f>
        <v>0</v>
      </c>
      <c r="M65" s="63">
        <f>'3. Escenarios'!$C$47+NPV('4. Comparativa'!K65,'3. Escenarios'!$D$47:$H$47)</f>
        <v>0</v>
      </c>
      <c r="N65" s="62">
        <f t="shared" si="3"/>
        <v>5.2500000000000012E-2</v>
      </c>
      <c r="O65" s="63">
        <f>'3. Escenarios'!$C$26+NPV('4. Comparativa'!N65,'3. Escenarios'!$D$26:$H$26)</f>
        <v>0</v>
      </c>
      <c r="P65" s="63">
        <f>'3. Escenarios'!$C$50+NPV('4. Comparativa'!N65,'3. Escenarios'!$D$50:$H$50)</f>
        <v>0</v>
      </c>
      <c r="Q65" s="62">
        <f t="shared" si="4"/>
        <v>5.2500000000000012E-2</v>
      </c>
      <c r="R65" s="63">
        <f>'3. Escenarios'!$C$29+NPV('4. Comparativa'!Q65,'3. Escenarios'!$D$29:$H$29)</f>
        <v>0</v>
      </c>
      <c r="S65" s="63">
        <f>'3. Escenarios'!$C$53+NPV('4. Comparativa'!Q65,'3. Escenarios'!$D$53:$H$53)</f>
        <v>0</v>
      </c>
    </row>
    <row r="66" spans="2:19" ht="14.45" x14ac:dyDescent="0.3">
      <c r="B66" s="60" t="str">
        <f>IF(OR($P$55&gt;$P$54,$O$55&gt;$O$54),"ATENCIÓN: posible problema de inconsistencia detectado en escenario optimista","")</f>
        <v/>
      </c>
      <c r="K66" s="62">
        <f t="shared" si="2"/>
        <v>5.5000000000000014E-2</v>
      </c>
      <c r="L66" s="63">
        <f>'3. Escenarios'!$C$23+NPV('4. Comparativa'!K66,'3. Escenarios'!$D$23:$H$23)</f>
        <v>0</v>
      </c>
      <c r="M66" s="63">
        <f>'3. Escenarios'!$C$47+NPV('4. Comparativa'!K66,'3. Escenarios'!$D$47:$H$47)</f>
        <v>0</v>
      </c>
      <c r="N66" s="62">
        <f t="shared" si="3"/>
        <v>5.5000000000000014E-2</v>
      </c>
      <c r="O66" s="63">
        <f>'3. Escenarios'!$C$26+NPV('4. Comparativa'!N66,'3. Escenarios'!$D$26:$H$26)</f>
        <v>0</v>
      </c>
      <c r="P66" s="63">
        <f>'3. Escenarios'!$C$50+NPV('4. Comparativa'!N66,'3. Escenarios'!$D$50:$H$50)</f>
        <v>0</v>
      </c>
      <c r="Q66" s="62">
        <f t="shared" si="4"/>
        <v>5.5000000000000014E-2</v>
      </c>
      <c r="R66" s="63">
        <f>'3. Escenarios'!$C$29+NPV('4. Comparativa'!Q66,'3. Escenarios'!$D$29:$H$29)</f>
        <v>0</v>
      </c>
      <c r="S66" s="63">
        <f>'3. Escenarios'!$C$53+NPV('4. Comparativa'!Q66,'3. Escenarios'!$D$53:$H$53)</f>
        <v>0</v>
      </c>
    </row>
    <row r="67" spans="2:19" ht="14.45" x14ac:dyDescent="0.3">
      <c r="K67" s="62">
        <f t="shared" si="2"/>
        <v>5.7500000000000016E-2</v>
      </c>
      <c r="L67" s="63">
        <f>'3. Escenarios'!$C$23+NPV('4. Comparativa'!K67,'3. Escenarios'!$D$23:$H$23)</f>
        <v>0</v>
      </c>
      <c r="M67" s="63">
        <f>'3. Escenarios'!$C$47+NPV('4. Comparativa'!K67,'3. Escenarios'!$D$47:$H$47)</f>
        <v>0</v>
      </c>
      <c r="N67" s="62">
        <f t="shared" si="3"/>
        <v>5.7500000000000016E-2</v>
      </c>
      <c r="O67" s="63">
        <f>'3. Escenarios'!$C$26+NPV('4. Comparativa'!N67,'3. Escenarios'!$D$26:$H$26)</f>
        <v>0</v>
      </c>
      <c r="P67" s="63">
        <f>'3. Escenarios'!$C$50+NPV('4. Comparativa'!N67,'3. Escenarios'!$D$50:$H$50)</f>
        <v>0</v>
      </c>
      <c r="Q67" s="62">
        <f t="shared" si="4"/>
        <v>5.7500000000000016E-2</v>
      </c>
      <c r="R67" s="63">
        <f>'3. Escenarios'!$C$29+NPV('4. Comparativa'!Q67,'3. Escenarios'!$D$29:$H$29)</f>
        <v>0</v>
      </c>
      <c r="S67" s="63">
        <f>'3. Escenarios'!$C$53+NPV('4. Comparativa'!Q67,'3. Escenarios'!$D$53:$H$53)</f>
        <v>0</v>
      </c>
    </row>
    <row r="68" spans="2:19" x14ac:dyDescent="0.25">
      <c r="K68" s="62">
        <f t="shared" si="2"/>
        <v>6.0000000000000019E-2</v>
      </c>
      <c r="L68" s="63">
        <f>'3. Escenarios'!$C$23+NPV('4. Comparativa'!K68,'3. Escenarios'!$D$23:$H$23)</f>
        <v>0</v>
      </c>
      <c r="M68" s="63">
        <f>'3. Escenarios'!$C$47+NPV('4. Comparativa'!K68,'3. Escenarios'!$D$47:$H$47)</f>
        <v>0</v>
      </c>
      <c r="N68" s="62">
        <f t="shared" si="3"/>
        <v>6.0000000000000019E-2</v>
      </c>
      <c r="O68" s="63">
        <f>'3. Escenarios'!$C$26+NPV('4. Comparativa'!N68,'3. Escenarios'!$D$26:$H$26)</f>
        <v>0</v>
      </c>
      <c r="P68" s="63">
        <f>'3. Escenarios'!$C$50+NPV('4. Comparativa'!N68,'3. Escenarios'!$D$50:$H$50)</f>
        <v>0</v>
      </c>
      <c r="Q68" s="62">
        <f t="shared" si="4"/>
        <v>6.0000000000000019E-2</v>
      </c>
      <c r="R68" s="63">
        <f>'3. Escenarios'!$C$29+NPV('4. Comparativa'!Q68,'3. Escenarios'!$D$29:$H$29)</f>
        <v>0</v>
      </c>
      <c r="S68" s="63">
        <f>'3. Escenarios'!$C$53+NPV('4. Comparativa'!Q68,'3. Escenarios'!$D$53:$H$53)</f>
        <v>0</v>
      </c>
    </row>
    <row r="69" spans="2:19" x14ac:dyDescent="0.25">
      <c r="K69" s="62">
        <f t="shared" si="2"/>
        <v>6.2500000000000014E-2</v>
      </c>
      <c r="L69" s="63">
        <f>'3. Escenarios'!$C$23+NPV('4. Comparativa'!K69,'3. Escenarios'!$D$23:$H$23)</f>
        <v>0</v>
      </c>
      <c r="M69" s="63">
        <f>'3. Escenarios'!$C$47+NPV('4. Comparativa'!K69,'3. Escenarios'!$D$47:$H$47)</f>
        <v>0</v>
      </c>
      <c r="N69" s="62">
        <f t="shared" si="3"/>
        <v>6.2500000000000014E-2</v>
      </c>
      <c r="O69" s="63">
        <f>'3. Escenarios'!$C$26+NPV('4. Comparativa'!N69,'3. Escenarios'!$D$26:$H$26)</f>
        <v>0</v>
      </c>
      <c r="P69" s="63">
        <f>'3. Escenarios'!$C$50+NPV('4. Comparativa'!N69,'3. Escenarios'!$D$50:$H$50)</f>
        <v>0</v>
      </c>
      <c r="Q69" s="62">
        <f t="shared" si="4"/>
        <v>6.2500000000000014E-2</v>
      </c>
      <c r="R69" s="63">
        <f>'3. Escenarios'!$C$29+NPV('4. Comparativa'!Q69,'3. Escenarios'!$D$29:$H$29)</f>
        <v>0</v>
      </c>
      <c r="S69" s="63">
        <f>'3. Escenarios'!$C$53+NPV('4. Comparativa'!Q69,'3. Escenarios'!$D$53:$H$53)</f>
        <v>0</v>
      </c>
    </row>
    <row r="70" spans="2:19" x14ac:dyDescent="0.25">
      <c r="K70" s="62">
        <f t="shared" si="2"/>
        <v>6.5000000000000016E-2</v>
      </c>
      <c r="L70" s="63">
        <f>'3. Escenarios'!$C$23+NPV('4. Comparativa'!K70,'3. Escenarios'!$D$23:$H$23)</f>
        <v>0</v>
      </c>
      <c r="M70" s="63">
        <f>'3. Escenarios'!$C$47+NPV('4. Comparativa'!K70,'3. Escenarios'!$D$47:$H$47)</f>
        <v>0</v>
      </c>
      <c r="N70" s="62">
        <f t="shared" si="3"/>
        <v>6.5000000000000016E-2</v>
      </c>
      <c r="O70" s="63">
        <f>'3. Escenarios'!$C$26+NPV('4. Comparativa'!N70,'3. Escenarios'!$D$26:$H$26)</f>
        <v>0</v>
      </c>
      <c r="P70" s="63">
        <f>'3. Escenarios'!$C$50+NPV('4. Comparativa'!N70,'3. Escenarios'!$D$50:$H$50)</f>
        <v>0</v>
      </c>
      <c r="Q70" s="62">
        <f t="shared" si="4"/>
        <v>6.5000000000000016E-2</v>
      </c>
      <c r="R70" s="63">
        <f>'3. Escenarios'!$C$29+NPV('4. Comparativa'!Q70,'3. Escenarios'!$D$29:$H$29)</f>
        <v>0</v>
      </c>
      <c r="S70" s="63">
        <f>'3. Escenarios'!$C$53+NPV('4. Comparativa'!Q70,'3. Escenarios'!$D$53:$H$53)</f>
        <v>0</v>
      </c>
    </row>
    <row r="71" spans="2:19" x14ac:dyDescent="0.25">
      <c r="K71" s="62">
        <f t="shared" si="2"/>
        <v>6.7500000000000018E-2</v>
      </c>
      <c r="L71" s="63">
        <f>'3. Escenarios'!$C$23+NPV('4. Comparativa'!K71,'3. Escenarios'!$D$23:$H$23)</f>
        <v>0</v>
      </c>
      <c r="M71" s="63">
        <f>'3. Escenarios'!$C$47+NPV('4. Comparativa'!K71,'3. Escenarios'!$D$47:$H$47)</f>
        <v>0</v>
      </c>
      <c r="N71" s="62">
        <f t="shared" si="3"/>
        <v>6.7500000000000018E-2</v>
      </c>
      <c r="O71" s="63">
        <f>'3. Escenarios'!$C$26+NPV('4. Comparativa'!N71,'3. Escenarios'!$D$26:$H$26)</f>
        <v>0</v>
      </c>
      <c r="P71" s="63">
        <f>'3. Escenarios'!$C$50+NPV('4. Comparativa'!N71,'3. Escenarios'!$D$50:$H$50)</f>
        <v>0</v>
      </c>
      <c r="Q71" s="62">
        <f t="shared" si="4"/>
        <v>6.7500000000000018E-2</v>
      </c>
      <c r="R71" s="63">
        <f>'3. Escenarios'!$C$29+NPV('4. Comparativa'!Q71,'3. Escenarios'!$D$29:$H$29)</f>
        <v>0</v>
      </c>
      <c r="S71" s="63">
        <f>'3. Escenarios'!$C$53+NPV('4. Comparativa'!Q71,'3. Escenarios'!$D$53:$H$53)</f>
        <v>0</v>
      </c>
    </row>
    <row r="72" spans="2:19" x14ac:dyDescent="0.25">
      <c r="K72" s="62">
        <f t="shared" si="2"/>
        <v>7.0000000000000021E-2</v>
      </c>
      <c r="L72" s="63">
        <f>'3. Escenarios'!$C$23+NPV('4. Comparativa'!K72,'3. Escenarios'!$D$23:$H$23)</f>
        <v>0</v>
      </c>
      <c r="M72" s="63">
        <f>'3. Escenarios'!$C$47+NPV('4. Comparativa'!K72,'3. Escenarios'!$D$47:$H$47)</f>
        <v>0</v>
      </c>
      <c r="N72" s="62">
        <f t="shared" si="3"/>
        <v>7.0000000000000021E-2</v>
      </c>
      <c r="O72" s="63">
        <f>'3. Escenarios'!$C$26+NPV('4. Comparativa'!N72,'3. Escenarios'!$D$26:$H$26)</f>
        <v>0</v>
      </c>
      <c r="P72" s="63">
        <f>'3. Escenarios'!$C$50+NPV('4. Comparativa'!N72,'3. Escenarios'!$D$50:$H$50)</f>
        <v>0</v>
      </c>
      <c r="Q72" s="62">
        <f t="shared" si="4"/>
        <v>7.0000000000000021E-2</v>
      </c>
      <c r="R72" s="63">
        <f>'3. Escenarios'!$C$29+NPV('4. Comparativa'!Q72,'3. Escenarios'!$D$29:$H$29)</f>
        <v>0</v>
      </c>
      <c r="S72" s="63">
        <f>'3. Escenarios'!$C$53+NPV('4. Comparativa'!Q72,'3. Escenarios'!$D$53:$H$53)</f>
        <v>0</v>
      </c>
    </row>
    <row r="73" spans="2:19" x14ac:dyDescent="0.25">
      <c r="K73" s="62">
        <f t="shared" si="2"/>
        <v>7.2500000000000023E-2</v>
      </c>
      <c r="L73" s="63">
        <f>'3. Escenarios'!$C$23+NPV('4. Comparativa'!K73,'3. Escenarios'!$D$23:$H$23)</f>
        <v>0</v>
      </c>
      <c r="M73" s="63">
        <f>'3. Escenarios'!$C$47+NPV('4. Comparativa'!K73,'3. Escenarios'!$D$47:$H$47)</f>
        <v>0</v>
      </c>
      <c r="N73" s="62">
        <f t="shared" si="3"/>
        <v>7.2500000000000023E-2</v>
      </c>
      <c r="O73" s="63">
        <f>'3. Escenarios'!$C$26+NPV('4. Comparativa'!N73,'3. Escenarios'!$D$26:$H$26)</f>
        <v>0</v>
      </c>
      <c r="P73" s="63">
        <f>'3. Escenarios'!$C$50+NPV('4. Comparativa'!N73,'3. Escenarios'!$D$50:$H$50)</f>
        <v>0</v>
      </c>
      <c r="Q73" s="62">
        <f t="shared" si="4"/>
        <v>7.2500000000000023E-2</v>
      </c>
      <c r="R73" s="63">
        <f>'3. Escenarios'!$C$29+NPV('4. Comparativa'!Q73,'3. Escenarios'!$D$29:$H$29)</f>
        <v>0</v>
      </c>
      <c r="S73" s="63">
        <f>'3. Escenarios'!$C$53+NPV('4. Comparativa'!Q73,'3. Escenarios'!$D$53:$H$53)</f>
        <v>0</v>
      </c>
    </row>
    <row r="74" spans="2:19" x14ac:dyDescent="0.25">
      <c r="K74" s="62">
        <f t="shared" si="2"/>
        <v>7.5000000000000025E-2</v>
      </c>
      <c r="L74" s="63">
        <f>'3. Escenarios'!$C$23+NPV('4. Comparativa'!K74,'3. Escenarios'!$D$23:$H$23)</f>
        <v>0</v>
      </c>
      <c r="M74" s="63">
        <f>'3. Escenarios'!$C$47+NPV('4. Comparativa'!K74,'3. Escenarios'!$D$47:$H$47)</f>
        <v>0</v>
      </c>
      <c r="N74" s="62">
        <f t="shared" si="3"/>
        <v>7.5000000000000025E-2</v>
      </c>
      <c r="O74" s="63">
        <f>'3. Escenarios'!$C$26+NPV('4. Comparativa'!N74,'3. Escenarios'!$D$26:$H$26)</f>
        <v>0</v>
      </c>
      <c r="P74" s="63">
        <f>'3. Escenarios'!$C$50+NPV('4. Comparativa'!N74,'3. Escenarios'!$D$50:$H$50)</f>
        <v>0</v>
      </c>
      <c r="Q74" s="62">
        <f t="shared" si="4"/>
        <v>7.5000000000000025E-2</v>
      </c>
      <c r="R74" s="63">
        <f>'3. Escenarios'!$C$29+NPV('4. Comparativa'!Q74,'3. Escenarios'!$D$29:$H$29)</f>
        <v>0</v>
      </c>
      <c r="S74" s="63">
        <f>'3. Escenarios'!$C$53+NPV('4. Comparativa'!Q74,'3. Escenarios'!$D$53:$H$53)</f>
        <v>0</v>
      </c>
    </row>
    <row r="75" spans="2:19" x14ac:dyDescent="0.25">
      <c r="K75" s="62">
        <f t="shared" si="2"/>
        <v>7.7500000000000027E-2</v>
      </c>
      <c r="L75" s="63">
        <f>'3. Escenarios'!$C$23+NPV('4. Comparativa'!K75,'3. Escenarios'!$D$23:$H$23)</f>
        <v>0</v>
      </c>
      <c r="M75" s="63">
        <f>'3. Escenarios'!$C$47+NPV('4. Comparativa'!K75,'3. Escenarios'!$D$47:$H$47)</f>
        <v>0</v>
      </c>
      <c r="N75" s="62">
        <f t="shared" si="3"/>
        <v>7.7500000000000027E-2</v>
      </c>
      <c r="O75" s="63">
        <f>'3. Escenarios'!$C$26+NPV('4. Comparativa'!N75,'3. Escenarios'!$D$26:$H$26)</f>
        <v>0</v>
      </c>
      <c r="P75" s="63">
        <f>'3. Escenarios'!$C$50+NPV('4. Comparativa'!N75,'3. Escenarios'!$D$50:$H$50)</f>
        <v>0</v>
      </c>
      <c r="Q75" s="62">
        <f t="shared" si="4"/>
        <v>7.7500000000000027E-2</v>
      </c>
      <c r="R75" s="63">
        <f>'3. Escenarios'!$C$29+NPV('4. Comparativa'!Q75,'3. Escenarios'!$D$29:$H$29)</f>
        <v>0</v>
      </c>
      <c r="S75" s="63">
        <f>'3. Escenarios'!$C$53+NPV('4. Comparativa'!Q75,'3. Escenarios'!$D$53:$H$53)</f>
        <v>0</v>
      </c>
    </row>
    <row r="76" spans="2:19" x14ac:dyDescent="0.25">
      <c r="K76" s="62">
        <f t="shared" si="2"/>
        <v>8.0000000000000029E-2</v>
      </c>
      <c r="L76" s="63">
        <f>'3. Escenarios'!$C$23+NPV('4. Comparativa'!K76,'3. Escenarios'!$D$23:$H$23)</f>
        <v>0</v>
      </c>
      <c r="M76" s="63">
        <f>'3. Escenarios'!$C$47+NPV('4. Comparativa'!K76,'3. Escenarios'!$D$47:$H$47)</f>
        <v>0</v>
      </c>
      <c r="N76" s="62">
        <f t="shared" si="3"/>
        <v>8.0000000000000029E-2</v>
      </c>
      <c r="O76" s="63">
        <f>'3. Escenarios'!$C$26+NPV('4. Comparativa'!N76,'3. Escenarios'!$D$26:$H$26)</f>
        <v>0</v>
      </c>
      <c r="P76" s="63">
        <f>'3. Escenarios'!$C$50+NPV('4. Comparativa'!N76,'3. Escenarios'!$D$50:$H$50)</f>
        <v>0</v>
      </c>
      <c r="Q76" s="62">
        <f t="shared" si="4"/>
        <v>8.0000000000000029E-2</v>
      </c>
      <c r="R76" s="63">
        <f>'3. Escenarios'!$C$29+NPV('4. Comparativa'!Q76,'3. Escenarios'!$D$29:$H$29)</f>
        <v>0</v>
      </c>
      <c r="S76" s="63">
        <f>'3. Escenarios'!$C$53+NPV('4. Comparativa'!Q76,'3. Escenarios'!$D$53:$H$53)</f>
        <v>0</v>
      </c>
    </row>
    <row r="77" spans="2:19" x14ac:dyDescent="0.25">
      <c r="K77" s="62">
        <f t="shared" si="2"/>
        <v>8.2500000000000032E-2</v>
      </c>
      <c r="L77" s="63">
        <f>'3. Escenarios'!$C$23+NPV('4. Comparativa'!K77,'3. Escenarios'!$D$23:$H$23)</f>
        <v>0</v>
      </c>
      <c r="M77" s="63">
        <f>'3. Escenarios'!$C$47+NPV('4. Comparativa'!K77,'3. Escenarios'!$D$47:$H$47)</f>
        <v>0</v>
      </c>
      <c r="N77" s="62">
        <f t="shared" si="3"/>
        <v>8.2500000000000032E-2</v>
      </c>
      <c r="O77" s="63">
        <f>'3. Escenarios'!$C$26+NPV('4. Comparativa'!N77,'3. Escenarios'!$D$26:$H$26)</f>
        <v>0</v>
      </c>
      <c r="P77" s="63">
        <f>'3. Escenarios'!$C$50+NPV('4. Comparativa'!N77,'3. Escenarios'!$D$50:$H$50)</f>
        <v>0</v>
      </c>
      <c r="Q77" s="62">
        <f t="shared" si="4"/>
        <v>8.2500000000000032E-2</v>
      </c>
      <c r="R77" s="63">
        <f>'3. Escenarios'!$C$29+NPV('4. Comparativa'!Q77,'3. Escenarios'!$D$29:$H$29)</f>
        <v>0</v>
      </c>
      <c r="S77" s="63">
        <f>'3. Escenarios'!$C$53+NPV('4. Comparativa'!Q77,'3. Escenarios'!$D$53:$H$53)</f>
        <v>0</v>
      </c>
    </row>
    <row r="78" spans="2:19" x14ac:dyDescent="0.25">
      <c r="K78" s="62">
        <f t="shared" si="2"/>
        <v>8.5000000000000034E-2</v>
      </c>
      <c r="L78" s="63">
        <f>'3. Escenarios'!$C$23+NPV('4. Comparativa'!K78,'3. Escenarios'!$D$23:$H$23)</f>
        <v>0</v>
      </c>
      <c r="M78" s="63">
        <f>'3. Escenarios'!$C$47+NPV('4. Comparativa'!K78,'3. Escenarios'!$D$47:$H$47)</f>
        <v>0</v>
      </c>
      <c r="N78" s="62">
        <f t="shared" si="3"/>
        <v>8.5000000000000034E-2</v>
      </c>
      <c r="O78" s="63">
        <f>'3. Escenarios'!$C$26+NPV('4. Comparativa'!N78,'3. Escenarios'!$D$26:$H$26)</f>
        <v>0</v>
      </c>
      <c r="P78" s="63">
        <f>'3. Escenarios'!$C$50+NPV('4. Comparativa'!N78,'3. Escenarios'!$D$50:$H$50)</f>
        <v>0</v>
      </c>
      <c r="Q78" s="62">
        <f t="shared" si="4"/>
        <v>8.5000000000000034E-2</v>
      </c>
      <c r="R78" s="63">
        <f>'3. Escenarios'!$C$29+NPV('4. Comparativa'!Q78,'3. Escenarios'!$D$29:$H$29)</f>
        <v>0</v>
      </c>
      <c r="S78" s="63">
        <f>'3. Escenarios'!$C$53+NPV('4. Comparativa'!Q78,'3. Escenarios'!$D$53:$H$53)</f>
        <v>0</v>
      </c>
    </row>
    <row r="79" spans="2:19" x14ac:dyDescent="0.25">
      <c r="K79" s="62">
        <f t="shared" si="2"/>
        <v>8.7500000000000036E-2</v>
      </c>
      <c r="L79" s="63">
        <f>'3. Escenarios'!$C$23+NPV('4. Comparativa'!K79,'3. Escenarios'!$D$23:$H$23)</f>
        <v>0</v>
      </c>
      <c r="M79" s="63">
        <f>'3. Escenarios'!$C$47+NPV('4. Comparativa'!K79,'3. Escenarios'!$D$47:$H$47)</f>
        <v>0</v>
      </c>
      <c r="N79" s="62">
        <f t="shared" si="3"/>
        <v>8.7500000000000036E-2</v>
      </c>
      <c r="O79" s="63">
        <f>'3. Escenarios'!$C$26+NPV('4. Comparativa'!N79,'3. Escenarios'!$D$26:$H$26)</f>
        <v>0</v>
      </c>
      <c r="P79" s="63">
        <f>'3. Escenarios'!$C$50+NPV('4. Comparativa'!N79,'3. Escenarios'!$D$50:$H$50)</f>
        <v>0</v>
      </c>
      <c r="Q79" s="62">
        <f t="shared" si="4"/>
        <v>8.7500000000000036E-2</v>
      </c>
      <c r="R79" s="63">
        <f>'3. Escenarios'!$C$29+NPV('4. Comparativa'!Q79,'3. Escenarios'!$D$29:$H$29)</f>
        <v>0</v>
      </c>
      <c r="S79" s="63">
        <f>'3. Escenarios'!$C$53+NPV('4. Comparativa'!Q79,'3. Escenarios'!$D$53:$H$53)</f>
        <v>0</v>
      </c>
    </row>
    <row r="80" spans="2:19" x14ac:dyDescent="0.25">
      <c r="K80" s="62">
        <f t="shared" si="2"/>
        <v>9.0000000000000038E-2</v>
      </c>
      <c r="L80" s="63">
        <f>'3. Escenarios'!$C$23+NPV('4. Comparativa'!K80,'3. Escenarios'!$D$23:$H$23)</f>
        <v>0</v>
      </c>
      <c r="M80" s="63">
        <f>'3. Escenarios'!$C$47+NPV('4. Comparativa'!K80,'3. Escenarios'!$D$47:$H$47)</f>
        <v>0</v>
      </c>
      <c r="N80" s="62">
        <f t="shared" si="3"/>
        <v>9.0000000000000038E-2</v>
      </c>
      <c r="O80" s="63">
        <f>'3. Escenarios'!$C$26+NPV('4. Comparativa'!N80,'3. Escenarios'!$D$26:$H$26)</f>
        <v>0</v>
      </c>
      <c r="P80" s="63">
        <f>'3. Escenarios'!$C$50+NPV('4. Comparativa'!N80,'3. Escenarios'!$D$50:$H$50)</f>
        <v>0</v>
      </c>
      <c r="Q80" s="62">
        <f t="shared" si="4"/>
        <v>9.0000000000000038E-2</v>
      </c>
      <c r="R80" s="63">
        <f>'3. Escenarios'!$C$29+NPV('4. Comparativa'!Q80,'3. Escenarios'!$D$29:$H$29)</f>
        <v>0</v>
      </c>
      <c r="S80" s="63">
        <f>'3. Escenarios'!$C$53+NPV('4. Comparativa'!Q80,'3. Escenarios'!$D$53:$H$53)</f>
        <v>0</v>
      </c>
    </row>
    <row r="81" spans="2:19" x14ac:dyDescent="0.25">
      <c r="K81" s="62">
        <f t="shared" si="2"/>
        <v>9.2500000000000041E-2</v>
      </c>
      <c r="L81" s="63">
        <f>'3. Escenarios'!$C$23+NPV('4. Comparativa'!K81,'3. Escenarios'!$D$23:$H$23)</f>
        <v>0</v>
      </c>
      <c r="M81" s="63">
        <f>'3. Escenarios'!$C$47+NPV('4. Comparativa'!K81,'3. Escenarios'!$D$47:$H$47)</f>
        <v>0</v>
      </c>
      <c r="N81" s="62">
        <f t="shared" si="3"/>
        <v>9.2500000000000041E-2</v>
      </c>
      <c r="O81" s="63">
        <f>'3. Escenarios'!$C$26+NPV('4. Comparativa'!N81,'3. Escenarios'!$D$26:$H$26)</f>
        <v>0</v>
      </c>
      <c r="P81" s="63">
        <f>'3. Escenarios'!$C$50+NPV('4. Comparativa'!N81,'3. Escenarios'!$D$50:$H$50)</f>
        <v>0</v>
      </c>
      <c r="Q81" s="62">
        <f t="shared" si="4"/>
        <v>9.2500000000000041E-2</v>
      </c>
      <c r="R81" s="63">
        <f>'3. Escenarios'!$C$29+NPV('4. Comparativa'!Q81,'3. Escenarios'!$D$29:$H$29)</f>
        <v>0</v>
      </c>
      <c r="S81" s="63">
        <f>'3. Escenarios'!$C$53+NPV('4. Comparativa'!Q81,'3. Escenarios'!$D$53:$H$53)</f>
        <v>0</v>
      </c>
    </row>
    <row r="82" spans="2:19" x14ac:dyDescent="0.25">
      <c r="K82" s="62">
        <f t="shared" si="2"/>
        <v>9.5000000000000043E-2</v>
      </c>
      <c r="L82" s="63">
        <f>'3. Escenarios'!$C$23+NPV('4. Comparativa'!K82,'3. Escenarios'!$D$23:$H$23)</f>
        <v>0</v>
      </c>
      <c r="M82" s="63">
        <f>'3. Escenarios'!$C$47+NPV('4. Comparativa'!K82,'3. Escenarios'!$D$47:$H$47)</f>
        <v>0</v>
      </c>
      <c r="N82" s="62">
        <f t="shared" si="3"/>
        <v>9.5000000000000043E-2</v>
      </c>
      <c r="O82" s="63">
        <f>'3. Escenarios'!$C$26+NPV('4. Comparativa'!N82,'3. Escenarios'!$D$26:$H$26)</f>
        <v>0</v>
      </c>
      <c r="P82" s="63">
        <f>'3. Escenarios'!$C$50+NPV('4. Comparativa'!N82,'3. Escenarios'!$D$50:$H$50)</f>
        <v>0</v>
      </c>
      <c r="Q82" s="62">
        <f t="shared" si="4"/>
        <v>9.5000000000000043E-2</v>
      </c>
      <c r="R82" s="63">
        <f>'3. Escenarios'!$C$29+NPV('4. Comparativa'!Q82,'3. Escenarios'!$D$29:$H$29)</f>
        <v>0</v>
      </c>
      <c r="S82" s="63">
        <f>'3. Escenarios'!$C$53+NPV('4. Comparativa'!Q82,'3. Escenarios'!$D$53:$H$53)</f>
        <v>0</v>
      </c>
    </row>
    <row r="83" spans="2:19" x14ac:dyDescent="0.25">
      <c r="K83" s="62">
        <f t="shared" si="2"/>
        <v>9.7500000000000045E-2</v>
      </c>
      <c r="L83" s="63">
        <f>'3. Escenarios'!$C$23+NPV('4. Comparativa'!K83,'3. Escenarios'!$D$23:$H$23)</f>
        <v>0</v>
      </c>
      <c r="M83" s="63">
        <f>'3. Escenarios'!$C$47+NPV('4. Comparativa'!K83,'3. Escenarios'!$D$47:$H$47)</f>
        <v>0</v>
      </c>
      <c r="N83" s="62">
        <f t="shared" si="3"/>
        <v>9.7500000000000045E-2</v>
      </c>
      <c r="O83" s="63">
        <f>'3. Escenarios'!$C$26+NPV('4. Comparativa'!N83,'3. Escenarios'!$D$26:$H$26)</f>
        <v>0</v>
      </c>
      <c r="P83" s="63">
        <f>'3. Escenarios'!$C$50+NPV('4. Comparativa'!N83,'3. Escenarios'!$D$50:$H$50)</f>
        <v>0</v>
      </c>
      <c r="Q83" s="62">
        <f t="shared" si="4"/>
        <v>9.7500000000000045E-2</v>
      </c>
      <c r="R83" s="63">
        <f>'3. Escenarios'!$C$29+NPV('4. Comparativa'!Q83,'3. Escenarios'!$D$29:$H$29)</f>
        <v>0</v>
      </c>
      <c r="S83" s="63">
        <f>'3. Escenarios'!$C$53+NPV('4. Comparativa'!Q83,'3. Escenarios'!$D$53:$H$53)</f>
        <v>0</v>
      </c>
    </row>
    <row r="84" spans="2:19" x14ac:dyDescent="0.25">
      <c r="K84" s="62">
        <f t="shared" si="2"/>
        <v>0.10000000000000005</v>
      </c>
      <c r="L84" s="63">
        <f>'3. Escenarios'!$C$23+NPV('4. Comparativa'!K84,'3. Escenarios'!$D$23:$H$23)</f>
        <v>0</v>
      </c>
      <c r="M84" s="63">
        <f>'3. Escenarios'!$C$47+NPV('4. Comparativa'!K84,'3. Escenarios'!$D$47:$H$47)</f>
        <v>0</v>
      </c>
      <c r="N84" s="62">
        <f t="shared" si="3"/>
        <v>0.10000000000000005</v>
      </c>
      <c r="O84" s="63">
        <f>'3. Escenarios'!$C$26+NPV('4. Comparativa'!N84,'3. Escenarios'!$D$26:$H$26)</f>
        <v>0</v>
      </c>
      <c r="P84" s="63">
        <f>'3. Escenarios'!$C$50+NPV('4. Comparativa'!N84,'3. Escenarios'!$D$50:$H$50)</f>
        <v>0</v>
      </c>
      <c r="Q84" s="62">
        <f t="shared" si="4"/>
        <v>0.10000000000000005</v>
      </c>
      <c r="R84" s="63">
        <f>'3. Escenarios'!$C$29+NPV('4. Comparativa'!Q84,'3. Escenarios'!$D$29:$H$29)</f>
        <v>0</v>
      </c>
      <c r="S84" s="63">
        <f>'3. Escenarios'!$C$53+NPV('4. Comparativa'!Q84,'3. Escenarios'!$D$53:$H$53)</f>
        <v>0</v>
      </c>
    </row>
    <row r="85" spans="2:19" x14ac:dyDescent="0.25">
      <c r="F85" s="41"/>
    </row>
    <row r="86" spans="2:19" x14ac:dyDescent="0.25">
      <c r="F86" s="41"/>
    </row>
    <row r="87" spans="2:19" x14ac:dyDescent="0.25">
      <c r="F87" s="41"/>
    </row>
    <row r="88" spans="2:19" x14ac:dyDescent="0.25">
      <c r="F88" s="41"/>
    </row>
    <row r="92" spans="2:19" x14ac:dyDescent="0.25">
      <c r="B92" s="60" t="str">
        <f>IF(OR($R$55&gt;$R$54,$S$55&gt;$S$54),"ATENCIÓN: posible problema de inconsistencia detectado en escenario pesimista","")</f>
        <v/>
      </c>
    </row>
  </sheetData>
  <sheetProtection password="81C4" sheet="1" objects="1" scenarios="1" selectLockedCells="1"/>
  <pageMargins left="0" right="0" top="0" bottom="0" header="0" footer="0"/>
  <ignoredErrors>
    <ignoredError sqref="F15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="70" zoomScaleNormal="70" workbookViewId="0">
      <selection activeCell="F49" sqref="F49"/>
    </sheetView>
  </sheetViews>
  <sheetFormatPr baseColWidth="10" defaultColWidth="10.85546875" defaultRowHeight="15" x14ac:dyDescent="0.25"/>
  <cols>
    <col min="1" max="1" width="1" style="1" customWidth="1"/>
    <col min="2" max="17" width="10.85546875" style="1"/>
    <col min="18" max="18" width="1" style="1" customWidth="1"/>
    <col min="19" max="16384" width="10.85546875" style="1"/>
  </cols>
  <sheetData>
    <row r="1" spans="1:18" ht="5.25" customHeight="1" x14ac:dyDescent="0.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14.45" x14ac:dyDescent="0.3">
      <c r="A2" s="64"/>
      <c r="R2" s="64"/>
    </row>
    <row r="3" spans="1:18" ht="14.45" x14ac:dyDescent="0.3">
      <c r="A3" s="64"/>
      <c r="R3" s="64"/>
    </row>
    <row r="4" spans="1:18" ht="14.45" x14ac:dyDescent="0.3">
      <c r="A4" s="64"/>
      <c r="R4" s="64"/>
    </row>
    <row r="5" spans="1:18" ht="14.45" x14ac:dyDescent="0.3">
      <c r="A5" s="64"/>
      <c r="R5" s="64"/>
    </row>
    <row r="6" spans="1:18" ht="14.45" x14ac:dyDescent="0.3">
      <c r="A6" s="64"/>
      <c r="R6" s="64"/>
    </row>
    <row r="7" spans="1:18" ht="14.45" x14ac:dyDescent="0.3">
      <c r="A7" s="64"/>
      <c r="R7" s="64"/>
    </row>
    <row r="8" spans="1:18" ht="14.45" x14ac:dyDescent="0.3">
      <c r="A8" s="64"/>
      <c r="R8" s="64"/>
    </row>
    <row r="9" spans="1:18" ht="14.45" x14ac:dyDescent="0.3">
      <c r="A9" s="64"/>
      <c r="R9" s="64"/>
    </row>
    <row r="10" spans="1:18" ht="14.45" x14ac:dyDescent="0.3">
      <c r="A10" s="64"/>
      <c r="R10" s="64"/>
    </row>
    <row r="11" spans="1:18" ht="14.45" x14ac:dyDescent="0.3">
      <c r="A11" s="64"/>
      <c r="R11" s="64"/>
    </row>
    <row r="12" spans="1:18" x14ac:dyDescent="0.25">
      <c r="A12" s="64"/>
      <c r="D12" s="3">
        <v>1</v>
      </c>
      <c r="E12" s="1" t="s">
        <v>113</v>
      </c>
      <c r="R12" s="64"/>
    </row>
    <row r="13" spans="1:18" ht="14.45" x14ac:dyDescent="0.3">
      <c r="A13" s="64"/>
      <c r="D13" s="3">
        <v>2</v>
      </c>
      <c r="E13" s="1" t="s">
        <v>115</v>
      </c>
      <c r="R13" s="64"/>
    </row>
    <row r="14" spans="1:18" x14ac:dyDescent="0.25">
      <c r="A14" s="64"/>
      <c r="D14" s="3">
        <v>3</v>
      </c>
      <c r="E14" s="1" t="s">
        <v>116</v>
      </c>
      <c r="R14" s="64"/>
    </row>
    <row r="15" spans="1:18" ht="14.45" x14ac:dyDescent="0.3">
      <c r="A15" s="64"/>
      <c r="D15" s="3">
        <v>4</v>
      </c>
      <c r="E15" s="1" t="s">
        <v>33</v>
      </c>
      <c r="R15" s="64"/>
    </row>
    <row r="16" spans="1:18" ht="14.45" x14ac:dyDescent="0.3">
      <c r="A16" s="64"/>
      <c r="D16" s="3">
        <v>5</v>
      </c>
      <c r="E16" s="1" t="s">
        <v>34</v>
      </c>
      <c r="R16" s="64"/>
    </row>
    <row r="17" spans="1:18" ht="14.45" x14ac:dyDescent="0.3">
      <c r="A17" s="64"/>
      <c r="R17" s="64"/>
    </row>
    <row r="18" spans="1:18" ht="14.45" x14ac:dyDescent="0.3">
      <c r="A18" s="64"/>
      <c r="R18" s="64"/>
    </row>
    <row r="19" spans="1:18" ht="5.25" customHeight="1" x14ac:dyDescent="0.3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</row>
  </sheetData>
  <sheetProtection password="81C4" sheet="1" objects="1" scenarios="1" selectLockedCells="1" selectUnlockedCells="1"/>
  <pageMargins left="0" right="0" top="0" bottom="0" header="0" footer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G11:Y169"/>
  <sheetViews>
    <sheetView zoomScaleNormal="100" workbookViewId="0">
      <selection activeCell="S128" sqref="S128"/>
    </sheetView>
  </sheetViews>
  <sheetFormatPr baseColWidth="10" defaultColWidth="11.42578125" defaultRowHeight="15" x14ac:dyDescent="0.25"/>
  <cols>
    <col min="1" max="1" width="119.5703125" style="15" customWidth="1"/>
    <col min="2" max="2" width="108" style="15" customWidth="1"/>
    <col min="3" max="3" width="97.140625" style="15" customWidth="1"/>
    <col min="4" max="6" width="11.42578125" style="15"/>
    <col min="7" max="7" width="56.140625" style="82" customWidth="1"/>
    <col min="8" max="8" width="13" style="82" customWidth="1"/>
    <col min="9" max="9" width="15" style="82" customWidth="1"/>
    <col min="10" max="10" width="14.42578125" style="82" customWidth="1"/>
    <col min="11" max="11" width="12" style="82" customWidth="1"/>
    <col min="12" max="12" width="13.42578125" style="82" customWidth="1"/>
    <col min="13" max="13" width="13.7109375" style="82" customWidth="1"/>
    <col min="14" max="14" width="12.42578125" style="82" customWidth="1"/>
    <col min="15" max="25" width="11.42578125" style="82"/>
    <col min="26" max="16384" width="11.42578125" style="15"/>
  </cols>
  <sheetData>
    <row r="11" spans="7:25" x14ac:dyDescent="0.25">
      <c r="H11" s="91" t="s">
        <v>20</v>
      </c>
      <c r="R11" s="82" t="s">
        <v>66</v>
      </c>
      <c r="U11" s="82" t="s">
        <v>67</v>
      </c>
      <c r="X11" s="88" t="s">
        <v>31</v>
      </c>
      <c r="Y11" s="88" t="s">
        <v>32</v>
      </c>
    </row>
    <row r="12" spans="7:25" ht="33.950000000000003" customHeight="1" x14ac:dyDescent="0.25">
      <c r="H12" s="88" t="str">
        <f>IF(simulacion!S22=1,"Calificación B",IF(simulacion!S22=2,"Calificación C","Calificación D"))</f>
        <v>Calificación B</v>
      </c>
      <c r="I12" s="88" t="s">
        <v>4</v>
      </c>
      <c r="R12" s="82" t="s">
        <v>0</v>
      </c>
      <c r="U12" s="82" t="s">
        <v>0</v>
      </c>
      <c r="X12" s="83">
        <v>0.01</v>
      </c>
      <c r="Y12" s="84">
        <f t="shared" ref="Y12:Y29" si="0">$H$28+NPV(X12,$I$28:$M$28)</f>
        <v>0</v>
      </c>
    </row>
    <row r="13" spans="7:25" x14ac:dyDescent="0.25">
      <c r="G13" s="82" t="s">
        <v>12</v>
      </c>
      <c r="H13" s="92">
        <f>'1. Inicial'!C13+'1. Inicial'!C14+('1. Inicial'!C11*'1. Inicial'!C12)</f>
        <v>0</v>
      </c>
      <c r="I13" s="92">
        <f>'2. CalificaciónA'!C13+'2. CalificaciónA'!C14+('2. CalificaciónA'!C11*'2. CalificaciónA'!C12)</f>
        <v>0</v>
      </c>
      <c r="O13" s="85"/>
      <c r="R13" s="82" t="s">
        <v>26</v>
      </c>
      <c r="S13" s="93">
        <v>3</v>
      </c>
      <c r="U13" s="82" t="s">
        <v>26</v>
      </c>
      <c r="V13" s="93">
        <v>3</v>
      </c>
      <c r="X13" s="83">
        <f>X12+0.001</f>
        <v>1.0999999999999999E-2</v>
      </c>
      <c r="Y13" s="84">
        <f t="shared" si="0"/>
        <v>0</v>
      </c>
    </row>
    <row r="14" spans="7:25" x14ac:dyDescent="0.25">
      <c r="G14" s="82" t="s">
        <v>30</v>
      </c>
      <c r="H14" s="92">
        <f>H13*(1+'1. Inicial'!E17)</f>
        <v>0</v>
      </c>
      <c r="I14" s="92">
        <f>I13*(1+'2. CalificaciónA'!E17)</f>
        <v>0</v>
      </c>
      <c r="J14" s="94" t="s">
        <v>19</v>
      </c>
      <c r="N14" s="86"/>
      <c r="R14" s="82" t="s">
        <v>13</v>
      </c>
      <c r="U14" s="82" t="s">
        <v>13</v>
      </c>
      <c r="X14" s="83">
        <f t="shared" ref="X14:X92" si="1">X13+0.001</f>
        <v>1.2E-2</v>
      </c>
      <c r="Y14" s="84">
        <f t="shared" si="0"/>
        <v>0</v>
      </c>
    </row>
    <row r="15" spans="7:25" x14ac:dyDescent="0.25">
      <c r="G15" s="82" t="s">
        <v>76</v>
      </c>
      <c r="H15" s="92">
        <f>'1. Inicial'!C11*'1. Inicial'!C12</f>
        <v>0</v>
      </c>
      <c r="I15" s="92">
        <f>'2. CalificaciónA'!C11*'2. CalificaciónA'!C12</f>
        <v>0</v>
      </c>
      <c r="J15" s="87"/>
      <c r="K15" s="87"/>
      <c r="L15" s="87"/>
      <c r="M15" s="85"/>
      <c r="N15" s="85"/>
      <c r="R15" s="82" t="s">
        <v>14</v>
      </c>
      <c r="U15" s="82" t="s">
        <v>14</v>
      </c>
      <c r="X15" s="83">
        <f t="shared" si="1"/>
        <v>1.3000000000000001E-2</v>
      </c>
      <c r="Y15" s="84">
        <f t="shared" si="0"/>
        <v>0</v>
      </c>
    </row>
    <row r="16" spans="7:25" x14ac:dyDescent="0.25">
      <c r="G16" s="82" t="s">
        <v>75</v>
      </c>
      <c r="H16" s="92" t="e">
        <f>H14/'1. Inicial'!C12</f>
        <v>#DIV/0!</v>
      </c>
      <c r="I16" s="92" t="e">
        <f>I14/'1. Inicial'!C12</f>
        <v>#DIV/0!</v>
      </c>
      <c r="J16" s="87"/>
      <c r="K16" s="87"/>
      <c r="L16" s="87"/>
      <c r="M16" s="85"/>
      <c r="N16" s="85"/>
      <c r="R16" s="82" t="s">
        <v>15</v>
      </c>
      <c r="U16" s="82" t="s">
        <v>15</v>
      </c>
      <c r="X16" s="83">
        <f t="shared" si="1"/>
        <v>1.4000000000000002E-2</v>
      </c>
      <c r="Y16" s="84">
        <f t="shared" si="0"/>
        <v>0</v>
      </c>
    </row>
    <row r="17" spans="7:25" x14ac:dyDescent="0.25">
      <c r="J17" s="88"/>
      <c r="K17" s="89"/>
      <c r="L17" s="89"/>
      <c r="R17" s="82" t="s">
        <v>16</v>
      </c>
      <c r="U17" s="82" t="s">
        <v>16</v>
      </c>
      <c r="X17" s="83">
        <f t="shared" si="1"/>
        <v>1.5000000000000003E-2</v>
      </c>
      <c r="Y17" s="84">
        <f t="shared" si="0"/>
        <v>0</v>
      </c>
    </row>
    <row r="18" spans="7:25" x14ac:dyDescent="0.25">
      <c r="X18" s="83">
        <f t="shared" si="1"/>
        <v>1.6000000000000004E-2</v>
      </c>
      <c r="Y18" s="84">
        <f t="shared" si="0"/>
        <v>0</v>
      </c>
    </row>
    <row r="19" spans="7:25" x14ac:dyDescent="0.25">
      <c r="G19" s="91" t="s">
        <v>72</v>
      </c>
      <c r="J19" s="90"/>
      <c r="X19" s="83">
        <f t="shared" si="1"/>
        <v>1.7000000000000005E-2</v>
      </c>
      <c r="Y19" s="84">
        <f t="shared" si="0"/>
        <v>0</v>
      </c>
    </row>
    <row r="20" spans="7:25" x14ac:dyDescent="0.25">
      <c r="X20" s="83">
        <f t="shared" si="1"/>
        <v>1.8000000000000006E-2</v>
      </c>
      <c r="Y20" s="84">
        <f t="shared" si="0"/>
        <v>0</v>
      </c>
    </row>
    <row r="21" spans="7:25" x14ac:dyDescent="0.25">
      <c r="G21" s="91" t="s">
        <v>74</v>
      </c>
      <c r="R21" s="82" t="s">
        <v>5</v>
      </c>
      <c r="X21" s="83">
        <f t="shared" si="1"/>
        <v>1.9000000000000006E-2</v>
      </c>
      <c r="Y21" s="84">
        <f t="shared" si="0"/>
        <v>0</v>
      </c>
    </row>
    <row r="22" spans="7:25" ht="75" x14ac:dyDescent="0.25">
      <c r="I22" s="86" t="s">
        <v>25</v>
      </c>
      <c r="J22" s="95" t="str">
        <f>IF(simulacion!$S$13&gt;=2,"Al año de iniciar la construcción","")</f>
        <v>Al año de iniciar la construcción</v>
      </c>
      <c r="K22" s="95" t="str">
        <f>IF(simulacion!$S$13&gt;=3,"A los dos años de iniciar la  construcción","")</f>
        <v>A los dos años de iniciar la  construcción</v>
      </c>
      <c r="L22" s="95" t="str">
        <f>IF(simulacion!$S$13&gt;=4,"A los tres años de  iniciar la construcción","")</f>
        <v/>
      </c>
      <c r="M22" s="95" t="str">
        <f>IF(simulacion!$S$13&gt;=5,"A los cuatro años de iniciar la construcción","")</f>
        <v/>
      </c>
      <c r="R22" s="82" t="s">
        <v>6</v>
      </c>
      <c r="S22" s="93">
        <v>1</v>
      </c>
      <c r="X22" s="83">
        <f t="shared" si="1"/>
        <v>2.0000000000000007E-2</v>
      </c>
      <c r="Y22" s="84">
        <f t="shared" si="0"/>
        <v>0</v>
      </c>
    </row>
    <row r="23" spans="7:25" x14ac:dyDescent="0.25">
      <c r="G23" s="82" t="s">
        <v>21</v>
      </c>
      <c r="I23" s="96">
        <f>IF(S13&gt;=1,'1. Inicial'!D27*simulacion!$H$14,0)</f>
        <v>0</v>
      </c>
      <c r="J23" s="96">
        <f>IF(S13&gt;=2,'1. Inicial'!E27*simulacion!$H$14,0)</f>
        <v>0</v>
      </c>
      <c r="K23" s="96">
        <f>IF(S13&gt;=3,'1. Inicial'!F27*simulacion!$H$14,0)</f>
        <v>0</v>
      </c>
      <c r="L23" s="96">
        <f>IF(S13&gt;=4,'1. Inicial'!G27*simulacion!$H$14,0)</f>
        <v>0</v>
      </c>
      <c r="M23" s="96">
        <f>IF(S13=5,'1. Inicial'!H27*simulacion!$H$14,0)</f>
        <v>0</v>
      </c>
      <c r="N23" s="97">
        <f>SUM(I23:M23)</f>
        <v>0</v>
      </c>
      <c r="R23" s="82" t="s">
        <v>7</v>
      </c>
      <c r="X23" s="83">
        <f t="shared" si="1"/>
        <v>2.1000000000000008E-2</v>
      </c>
      <c r="Y23" s="84">
        <f t="shared" si="0"/>
        <v>0</v>
      </c>
    </row>
    <row r="24" spans="7:25" x14ac:dyDescent="0.25">
      <c r="G24" s="82" t="s">
        <v>27</v>
      </c>
      <c r="I24" s="96">
        <f>I25+I26</f>
        <v>0</v>
      </c>
      <c r="J24" s="96">
        <f>J25+J26</f>
        <v>0</v>
      </c>
      <c r="K24" s="96">
        <f t="shared" ref="K24:M24" si="2">K25+K26</f>
        <v>0</v>
      </c>
      <c r="L24" s="96">
        <f t="shared" si="2"/>
        <v>0</v>
      </c>
      <c r="M24" s="96">
        <f t="shared" si="2"/>
        <v>0</v>
      </c>
      <c r="N24" s="97">
        <f>SUM(I24:M24)</f>
        <v>0</v>
      </c>
      <c r="R24" s="82" t="s">
        <v>8</v>
      </c>
      <c r="X24" s="83">
        <f t="shared" si="1"/>
        <v>2.2000000000000009E-2</v>
      </c>
      <c r="Y24" s="84">
        <f t="shared" si="0"/>
        <v>0</v>
      </c>
    </row>
    <row r="25" spans="7:25" x14ac:dyDescent="0.25">
      <c r="G25" s="82" t="s">
        <v>54</v>
      </c>
      <c r="I25" s="98">
        <v>0</v>
      </c>
      <c r="J25" s="96">
        <f>$H$15*'1. Inicial'!$D$20</f>
        <v>0</v>
      </c>
      <c r="K25" s="96">
        <f>$H$15*'1. Inicial'!$E$20</f>
        <v>0</v>
      </c>
      <c r="L25" s="99">
        <v>0</v>
      </c>
      <c r="M25" s="99">
        <v>0</v>
      </c>
      <c r="X25" s="83">
        <f t="shared" si="1"/>
        <v>2.300000000000001E-2</v>
      </c>
      <c r="Y25" s="84">
        <f t="shared" si="0"/>
        <v>0</v>
      </c>
    </row>
    <row r="26" spans="7:25" x14ac:dyDescent="0.25">
      <c r="G26" s="82" t="s">
        <v>55</v>
      </c>
      <c r="I26" s="96">
        <f>IF(S13&gt;=1,'1. Inicial'!$C$14*'1. Inicial'!D30,0)</f>
        <v>0</v>
      </c>
      <c r="J26" s="96">
        <f>IF(S13&gt;=2,'1. Inicial'!$C$14*'1. Inicial'!E30,0)</f>
        <v>0</v>
      </c>
      <c r="K26" s="96">
        <f>IF(S13&gt;=3,'1. Inicial'!$C$14*'1. Inicial'!F30,0)</f>
        <v>0</v>
      </c>
      <c r="L26" s="96">
        <f>IF(S13&gt;=4,'1. Inicial'!$C$14*'1. Inicial'!G30,0)</f>
        <v>0</v>
      </c>
      <c r="M26" s="96">
        <f>IF(S13=5,'1. Inicial'!$C$14*'1. Inicial'!H30,0)</f>
        <v>0</v>
      </c>
      <c r="N26" s="97">
        <f>SUM(I26:M26)</f>
        <v>0</v>
      </c>
      <c r="X26" s="83">
        <f t="shared" si="1"/>
        <v>2.4000000000000011E-2</v>
      </c>
      <c r="Y26" s="84">
        <f t="shared" si="0"/>
        <v>0</v>
      </c>
    </row>
    <row r="27" spans="7:25" x14ac:dyDescent="0.25">
      <c r="G27" s="82" t="s">
        <v>28</v>
      </c>
      <c r="I27" s="96">
        <f>I23-I24</f>
        <v>0</v>
      </c>
      <c r="J27" s="96">
        <f>J23-J24</f>
        <v>0</v>
      </c>
      <c r="K27" s="96">
        <f t="shared" ref="K27:M27" si="3">K23-K24</f>
        <v>0</v>
      </c>
      <c r="L27" s="96">
        <f t="shared" si="3"/>
        <v>0</v>
      </c>
      <c r="M27" s="96">
        <f t="shared" si="3"/>
        <v>0</v>
      </c>
      <c r="N27" s="90"/>
      <c r="X27" s="83">
        <f t="shared" si="1"/>
        <v>2.5000000000000012E-2</v>
      </c>
      <c r="Y27" s="84">
        <f t="shared" si="0"/>
        <v>0</v>
      </c>
    </row>
    <row r="28" spans="7:25" x14ac:dyDescent="0.25">
      <c r="G28" s="82" t="s">
        <v>29</v>
      </c>
      <c r="H28" s="100">
        <f>-'1. Inicial'!C13</f>
        <v>0</v>
      </c>
      <c r="I28" s="96">
        <f>I27</f>
        <v>0</v>
      </c>
      <c r="J28" s="96">
        <f>J27</f>
        <v>0</v>
      </c>
      <c r="K28" s="96">
        <f>K27</f>
        <v>0</v>
      </c>
      <c r="L28" s="96">
        <f>L27</f>
        <v>0</v>
      </c>
      <c r="M28" s="96">
        <f>M27</f>
        <v>0</v>
      </c>
      <c r="X28" s="83">
        <f t="shared" si="1"/>
        <v>2.6000000000000013E-2</v>
      </c>
      <c r="Y28" s="84">
        <f t="shared" si="0"/>
        <v>0</v>
      </c>
    </row>
    <row r="29" spans="7:25" x14ac:dyDescent="0.25">
      <c r="X29" s="83">
        <f t="shared" si="1"/>
        <v>2.7000000000000014E-2</v>
      </c>
      <c r="Y29" s="84">
        <f t="shared" si="0"/>
        <v>0</v>
      </c>
    </row>
    <row r="30" spans="7:25" x14ac:dyDescent="0.25">
      <c r="X30" s="83"/>
      <c r="Y30" s="84"/>
    </row>
    <row r="31" spans="7:25" x14ac:dyDescent="0.25">
      <c r="G31" s="91" t="s">
        <v>52</v>
      </c>
      <c r="H31" s="89">
        <f>'3. Escenarios'!E13</f>
        <v>0</v>
      </c>
      <c r="I31" s="88">
        <v>1</v>
      </c>
      <c r="J31" s="88">
        <v>2</v>
      </c>
      <c r="K31" s="88">
        <v>3</v>
      </c>
      <c r="L31" s="88">
        <v>4</v>
      </c>
      <c r="M31" s="88">
        <v>5</v>
      </c>
      <c r="X31" s="83"/>
      <c r="Y31" s="84"/>
    </row>
    <row r="32" spans="7:25" ht="75" x14ac:dyDescent="0.25">
      <c r="I32" s="101" t="s">
        <v>25</v>
      </c>
      <c r="J32" s="95" t="str">
        <f>IF(simulacion!$S$13&gt;=2,"Al año de iniciar la construcción","")</f>
        <v>Al año de iniciar la construcción</v>
      </c>
      <c r="K32" s="95" t="str">
        <f>IF(simulacion!$S$13&gt;=3,"A los dos años de iniciar la  construcción","")</f>
        <v>A los dos años de iniciar la  construcción</v>
      </c>
      <c r="L32" s="95" t="str">
        <f>IF(simulacion!$S$13&gt;=4,"A los tres años de  iniciar la construcción","")</f>
        <v/>
      </c>
      <c r="M32" s="95" t="str">
        <f>IF(simulacion!$S$13&gt;=5,"A los cuatro años de iniciar la construcción","")</f>
        <v/>
      </c>
      <c r="N32" s="101" t="s">
        <v>17</v>
      </c>
      <c r="X32" s="83"/>
      <c r="Y32" s="84"/>
    </row>
    <row r="33" spans="7:25" x14ac:dyDescent="0.25">
      <c r="G33" s="82" t="s">
        <v>50</v>
      </c>
      <c r="I33" s="102">
        <f>IF(S13&gt;=1,'1. Inicial'!D27,0)</f>
        <v>0</v>
      </c>
      <c r="J33" s="102">
        <f>IF(S13&gt;=2,'1. Inicial'!E27,0%)</f>
        <v>0</v>
      </c>
      <c r="K33" s="102">
        <f>IF(S13&gt;=3,'1. Inicial'!F27,0%)</f>
        <v>0</v>
      </c>
      <c r="L33" s="102">
        <f>IF(S13&gt;=4,'1. Inicial'!G27,0%)</f>
        <v>0</v>
      </c>
      <c r="M33" s="102">
        <f>IF(S13=5,'1. Inicial'!H27,0%)</f>
        <v>0</v>
      </c>
      <c r="N33" s="102">
        <f>SUM(I33:M33)</f>
        <v>0</v>
      </c>
      <c r="X33" s="83"/>
      <c r="Y33" s="84"/>
    </row>
    <row r="34" spans="7:25" x14ac:dyDescent="0.25">
      <c r="G34" s="82" t="s">
        <v>35</v>
      </c>
      <c r="I34" s="103">
        <f>I33*(1+$H$31)</f>
        <v>0</v>
      </c>
      <c r="J34" s="103">
        <f>J33*(1+$H$31)</f>
        <v>0</v>
      </c>
      <c r="K34" s="103">
        <f>K33*(1+$H$31)</f>
        <v>0</v>
      </c>
      <c r="L34" s="103">
        <f>L33*(1+$H$31)</f>
        <v>0</v>
      </c>
      <c r="M34" s="103">
        <f>M33*(1+$H$31)</f>
        <v>0</v>
      </c>
      <c r="N34" s="89"/>
      <c r="X34" s="83"/>
      <c r="Y34" s="84"/>
    </row>
    <row r="35" spans="7:25" x14ac:dyDescent="0.25">
      <c r="G35" s="82" t="s">
        <v>51</v>
      </c>
      <c r="I35" s="103">
        <f>100%-I34</f>
        <v>1</v>
      </c>
      <c r="J35" s="103">
        <f>100%-I36-J36</f>
        <v>1</v>
      </c>
      <c r="K35" s="103">
        <f>100%-I36-J36-K36</f>
        <v>1</v>
      </c>
      <c r="L35" s="103">
        <f>100%-I36-J36-K36-L36</f>
        <v>1</v>
      </c>
      <c r="M35" s="103">
        <f>100%-I36-J36-K36-L36</f>
        <v>1</v>
      </c>
      <c r="N35" s="87"/>
      <c r="X35" s="83"/>
      <c r="Y35" s="84"/>
    </row>
    <row r="36" spans="7:25" x14ac:dyDescent="0.25">
      <c r="G36" s="82" t="s">
        <v>36</v>
      </c>
      <c r="I36" s="102">
        <f>I34</f>
        <v>0</v>
      </c>
      <c r="J36" s="102">
        <f>IF(I35&lt;J34,100%-I34,J34)</f>
        <v>0</v>
      </c>
      <c r="K36" s="102">
        <f>IF(K34&lt;J35,K34,100%-I36-J36)</f>
        <v>0</v>
      </c>
      <c r="L36" s="102">
        <f>IF(L34&lt;K35,L34,100%-I36-J36-K36)</f>
        <v>0</v>
      </c>
      <c r="M36" s="89">
        <f>IF(S13=5,100%-I36-J36-K36-L36,0%)</f>
        <v>0</v>
      </c>
      <c r="N36" s="87">
        <f t="shared" ref="N36" si="4">SUM(I36:M36)</f>
        <v>0</v>
      </c>
      <c r="X36" s="83"/>
      <c r="Y36" s="84"/>
    </row>
    <row r="37" spans="7:25" x14ac:dyDescent="0.25">
      <c r="G37" s="82" t="s">
        <v>37</v>
      </c>
      <c r="I37" s="88">
        <f>IF(I36&gt;0,1,0)</f>
        <v>0</v>
      </c>
      <c r="J37" s="88">
        <f t="shared" ref="J37:M37" si="5">IF(J36&gt;0,1,0)</f>
        <v>0</v>
      </c>
      <c r="K37" s="88">
        <f t="shared" si="5"/>
        <v>0</v>
      </c>
      <c r="L37" s="88">
        <f t="shared" si="5"/>
        <v>0</v>
      </c>
      <c r="M37" s="88">
        <f t="shared" si="5"/>
        <v>0</v>
      </c>
      <c r="N37" s="88">
        <f>SUM(I37:M37)</f>
        <v>0</v>
      </c>
      <c r="O37" s="82" t="s">
        <v>38</v>
      </c>
      <c r="X37" s="83"/>
      <c r="Y37" s="84"/>
    </row>
    <row r="38" spans="7:25" x14ac:dyDescent="0.25">
      <c r="X38" s="83"/>
      <c r="Y38" s="84"/>
    </row>
    <row r="39" spans="7:25" x14ac:dyDescent="0.25">
      <c r="G39" s="91" t="s">
        <v>53</v>
      </c>
      <c r="H39" s="89">
        <f>'3. Escenarios'!E14</f>
        <v>0</v>
      </c>
      <c r="X39" s="83">
        <f>X29+0.001</f>
        <v>2.8000000000000014E-2</v>
      </c>
      <c r="Y39" s="84">
        <f>$H$28+NPV(X39,$I$28:$M$28)</f>
        <v>0</v>
      </c>
    </row>
    <row r="40" spans="7:25" ht="75" x14ac:dyDescent="0.25">
      <c r="I40" s="101" t="s">
        <v>25</v>
      </c>
      <c r="J40" s="95" t="str">
        <f>IF(simulacion!$S$13&gt;=2,"Al año de iniciar la construcción","")</f>
        <v>Al año de iniciar la construcción</v>
      </c>
      <c r="K40" s="95" t="str">
        <f>IF(simulacion!$S$13&gt;=3,"A los dos años de iniciar la  construcción","")</f>
        <v>A los dos años de iniciar la  construcción</v>
      </c>
      <c r="L40" s="95" t="str">
        <f>IF(simulacion!$S$13&gt;=4,"A los tres años de  iniciar la construcción","")</f>
        <v/>
      </c>
      <c r="M40" s="95" t="str">
        <f>IF(simulacion!$S$13&gt;=5,"A los cuatro años de iniciar la construcción","")</f>
        <v/>
      </c>
      <c r="N40" s="101" t="s">
        <v>17</v>
      </c>
      <c r="X40" s="83">
        <f t="shared" si="1"/>
        <v>2.9000000000000015E-2</v>
      </c>
      <c r="Y40" s="84">
        <f>$H$28+NPV(X40,$I$28:$M$28)</f>
        <v>0</v>
      </c>
    </row>
    <row r="41" spans="7:25" x14ac:dyDescent="0.25">
      <c r="G41" s="82" t="s">
        <v>50</v>
      </c>
      <c r="I41" s="102">
        <f>I33</f>
        <v>0</v>
      </c>
      <c r="J41" s="102">
        <f t="shared" ref="J41:M41" si="6">J33</f>
        <v>0</v>
      </c>
      <c r="K41" s="102">
        <f t="shared" si="6"/>
        <v>0</v>
      </c>
      <c r="L41" s="102">
        <f t="shared" si="6"/>
        <v>0</v>
      </c>
      <c r="M41" s="102">
        <f t="shared" si="6"/>
        <v>0</v>
      </c>
      <c r="N41" s="102">
        <f>SUM(I41:M41)</f>
        <v>0</v>
      </c>
      <c r="X41" s="83">
        <f t="shared" si="1"/>
        <v>3.0000000000000016E-2</v>
      </c>
      <c r="Y41" s="84">
        <f>$H$28+NPV(X41,$I$28:$M$28)</f>
        <v>0</v>
      </c>
    </row>
    <row r="42" spans="7:25" x14ac:dyDescent="0.25">
      <c r="G42" s="82" t="s">
        <v>35</v>
      </c>
      <c r="I42" s="103">
        <f>I41*(100%-$H$39)</f>
        <v>0</v>
      </c>
      <c r="J42" s="103">
        <f>J41*(100%-$H$39)</f>
        <v>0</v>
      </c>
      <c r="K42" s="103">
        <f>K41*(100%-$H$39)</f>
        <v>0</v>
      </c>
      <c r="L42" s="103">
        <f>L41*(100%-$H$39)</f>
        <v>0</v>
      </c>
      <c r="M42" s="103">
        <f>M41*(100%-$H$39)</f>
        <v>0</v>
      </c>
      <c r="N42" s="87"/>
      <c r="X42" s="83">
        <f t="shared" si="1"/>
        <v>3.1000000000000017E-2</v>
      </c>
      <c r="Y42" s="84">
        <f>$H$28+NPV(X42,$I$28:$M$28)</f>
        <v>0</v>
      </c>
    </row>
    <row r="43" spans="7:25" x14ac:dyDescent="0.25">
      <c r="G43" s="82" t="s">
        <v>51</v>
      </c>
      <c r="I43" s="102">
        <f>100%-I44</f>
        <v>1</v>
      </c>
      <c r="J43" s="102">
        <f>100%-I44-J44</f>
        <v>1</v>
      </c>
      <c r="K43" s="102">
        <f>100%-K44-J44-I44</f>
        <v>1</v>
      </c>
      <c r="L43" s="102">
        <f>100%-L44-K44-J44-I44</f>
        <v>0</v>
      </c>
      <c r="M43" s="102">
        <f>IF(S13=5,100%-L44-K44-J44-I44,0%)</f>
        <v>0</v>
      </c>
      <c r="N43" s="87"/>
      <c r="X43" s="83">
        <f t="shared" si="1"/>
        <v>3.2000000000000015E-2</v>
      </c>
      <c r="Y43" s="84"/>
    </row>
    <row r="44" spans="7:25" x14ac:dyDescent="0.25">
      <c r="G44" s="82" t="s">
        <v>36</v>
      </c>
      <c r="I44" s="102">
        <f>I42</f>
        <v>0</v>
      </c>
      <c r="J44" s="102">
        <f>IF(S13&lt;2,100%-J96,IF(J94&lt;=I95,J94))</f>
        <v>0</v>
      </c>
      <c r="K44" s="102">
        <f>IF($S$13&lt;3,100%-I44-J44,IF(K42&lt;=J43,K42))</f>
        <v>0</v>
      </c>
      <c r="L44" s="102">
        <f>IF($S$13&lt;4,100%-I44-J44-K44,IF(L42&lt;=K43,L42))</f>
        <v>1</v>
      </c>
      <c r="M44" s="102">
        <f>IF($S$13=5,100%-I44-J44-K44-L44,0%)</f>
        <v>0</v>
      </c>
      <c r="N44" s="87">
        <f>SUM(I44:M44)</f>
        <v>1</v>
      </c>
      <c r="X44" s="83">
        <f t="shared" si="1"/>
        <v>3.3000000000000015E-2</v>
      </c>
      <c r="Y44" s="84">
        <f t="shared" ref="Y44:Y75" si="7">$H$28+NPV(X44,$I$28:$M$28)</f>
        <v>0</v>
      </c>
    </row>
    <row r="45" spans="7:25" x14ac:dyDescent="0.25">
      <c r="G45" s="82" t="s">
        <v>37</v>
      </c>
      <c r="I45" s="88">
        <f>IF(I44&gt;0,1,0)</f>
        <v>0</v>
      </c>
      <c r="J45" s="88">
        <f t="shared" ref="J45" si="8">IF(J44&gt;0,1,0)</f>
        <v>0</v>
      </c>
      <c r="K45" s="88">
        <f t="shared" ref="K45" si="9">IF(K44&gt;0,1,0)</f>
        <v>0</v>
      </c>
      <c r="L45" s="88">
        <f t="shared" ref="L45" si="10">IF(L44&gt;0,1,0)</f>
        <v>1</v>
      </c>
      <c r="M45" s="88">
        <f t="shared" ref="M45" si="11">IF(M44&gt;0,1,0)</f>
        <v>0</v>
      </c>
      <c r="N45" s="88">
        <f>SUM(I45:M45)</f>
        <v>1</v>
      </c>
      <c r="O45" s="82" t="s">
        <v>38</v>
      </c>
      <c r="X45" s="83">
        <f t="shared" si="1"/>
        <v>3.4000000000000016E-2</v>
      </c>
      <c r="Y45" s="84">
        <f t="shared" si="7"/>
        <v>0</v>
      </c>
    </row>
    <row r="46" spans="7:25" x14ac:dyDescent="0.25">
      <c r="X46" s="83">
        <f t="shared" si="1"/>
        <v>3.5000000000000017E-2</v>
      </c>
      <c r="Y46" s="84">
        <f t="shared" si="7"/>
        <v>0</v>
      </c>
    </row>
    <row r="47" spans="7:25" x14ac:dyDescent="0.25">
      <c r="X47" s="83">
        <f t="shared" si="1"/>
        <v>3.6000000000000018E-2</v>
      </c>
      <c r="Y47" s="84">
        <f t="shared" si="7"/>
        <v>0</v>
      </c>
    </row>
    <row r="48" spans="7:25" x14ac:dyDescent="0.25">
      <c r="G48" s="91" t="s">
        <v>48</v>
      </c>
      <c r="X48" s="83">
        <f t="shared" si="1"/>
        <v>3.7000000000000019E-2</v>
      </c>
      <c r="Y48" s="84">
        <f t="shared" si="7"/>
        <v>0</v>
      </c>
    </row>
    <row r="49" spans="7:25" ht="75" x14ac:dyDescent="0.25">
      <c r="I49" s="86" t="s">
        <v>25</v>
      </c>
      <c r="J49" s="95" t="str">
        <f>IF(simulacion!$S$13&gt;=2,"Al año de iniciar la construcción","")</f>
        <v>Al año de iniciar la construcción</v>
      </c>
      <c r="K49" s="95" t="str">
        <f>IF(simulacion!$S$13&gt;=3,"A los dos años de iniciar la  construcción","")</f>
        <v>A los dos años de iniciar la  construcción</v>
      </c>
      <c r="L49" s="95" t="str">
        <f>IF(simulacion!$S$13&gt;=4,"A los tres años de  iniciar la construcción","")</f>
        <v/>
      </c>
      <c r="M49" s="95" t="str">
        <f>IF(simulacion!$S$13&gt;=5,"A los cuatro años de iniciar la construcción","")</f>
        <v/>
      </c>
      <c r="X49" s="83">
        <f t="shared" si="1"/>
        <v>3.800000000000002E-2</v>
      </c>
      <c r="Y49" s="84">
        <f t="shared" si="7"/>
        <v>0</v>
      </c>
    </row>
    <row r="50" spans="7:25" x14ac:dyDescent="0.25">
      <c r="G50" s="82" t="s">
        <v>21</v>
      </c>
      <c r="I50" s="92">
        <f>$H$14*I36</f>
        <v>0</v>
      </c>
      <c r="J50" s="92">
        <f t="shared" ref="J50:M50" si="12">$H$14*J36</f>
        <v>0</v>
      </c>
      <c r="K50" s="92">
        <f t="shared" si="12"/>
        <v>0</v>
      </c>
      <c r="L50" s="92">
        <f t="shared" si="12"/>
        <v>0</v>
      </c>
      <c r="M50" s="92">
        <f t="shared" si="12"/>
        <v>0</v>
      </c>
      <c r="N50" s="97">
        <f>SUM(I50:M50)</f>
        <v>0</v>
      </c>
      <c r="X50" s="83">
        <f t="shared" si="1"/>
        <v>3.9000000000000021E-2</v>
      </c>
      <c r="Y50" s="84">
        <f t="shared" si="7"/>
        <v>0</v>
      </c>
    </row>
    <row r="51" spans="7:25" x14ac:dyDescent="0.25">
      <c r="G51" s="82" t="s">
        <v>27</v>
      </c>
      <c r="I51" s="92">
        <f>I52+I53</f>
        <v>0</v>
      </c>
      <c r="J51" s="92">
        <f t="shared" ref="J51:M51" si="13">J52+J53</f>
        <v>0</v>
      </c>
      <c r="K51" s="92">
        <f t="shared" si="13"/>
        <v>0</v>
      </c>
      <c r="L51" s="92">
        <f t="shared" si="13"/>
        <v>0</v>
      </c>
      <c r="M51" s="92">
        <f t="shared" si="13"/>
        <v>0</v>
      </c>
      <c r="N51" s="97">
        <f>SUM(I51:M51)</f>
        <v>0</v>
      </c>
      <c r="X51" s="83">
        <f t="shared" si="1"/>
        <v>4.0000000000000022E-2</v>
      </c>
      <c r="Y51" s="84">
        <f t="shared" si="7"/>
        <v>0</v>
      </c>
    </row>
    <row r="52" spans="7:25" x14ac:dyDescent="0.25">
      <c r="G52" s="82" t="s">
        <v>54</v>
      </c>
      <c r="I52" s="92">
        <v>0</v>
      </c>
      <c r="J52" s="92">
        <f>J25</f>
        <v>0</v>
      </c>
      <c r="K52" s="92">
        <f>K25</f>
        <v>0</v>
      </c>
      <c r="L52" s="92">
        <v>0</v>
      </c>
      <c r="M52" s="92">
        <v>0</v>
      </c>
      <c r="N52" s="97"/>
      <c r="X52" s="83">
        <f t="shared" si="1"/>
        <v>4.1000000000000023E-2</v>
      </c>
      <c r="Y52" s="84">
        <f t="shared" si="7"/>
        <v>0</v>
      </c>
    </row>
    <row r="53" spans="7:25" x14ac:dyDescent="0.25">
      <c r="G53" s="82" t="s">
        <v>55</v>
      </c>
      <c r="I53" s="92">
        <f>I26</f>
        <v>0</v>
      </c>
      <c r="J53" s="92">
        <f>J26</f>
        <v>0</v>
      </c>
      <c r="K53" s="92">
        <f>K26</f>
        <v>0</v>
      </c>
      <c r="L53" s="92">
        <f>L26</f>
        <v>0</v>
      </c>
      <c r="M53" s="92">
        <f>M26</f>
        <v>0</v>
      </c>
      <c r="N53" s="97">
        <f>SUM(I53:M53)</f>
        <v>0</v>
      </c>
      <c r="X53" s="83">
        <f t="shared" si="1"/>
        <v>4.2000000000000023E-2</v>
      </c>
      <c r="Y53" s="84">
        <f t="shared" si="7"/>
        <v>0</v>
      </c>
    </row>
    <row r="54" spans="7:25" x14ac:dyDescent="0.25">
      <c r="G54" s="82" t="s">
        <v>28</v>
      </c>
      <c r="I54" s="92">
        <f>I50-I51</f>
        <v>0</v>
      </c>
      <c r="J54" s="92">
        <f>J50-J51</f>
        <v>0</v>
      </c>
      <c r="K54" s="92">
        <f t="shared" ref="K54:M54" si="14">K50-K51</f>
        <v>0</v>
      </c>
      <c r="L54" s="92">
        <f t="shared" si="14"/>
        <v>0</v>
      </c>
      <c r="M54" s="92">
        <f t="shared" si="14"/>
        <v>0</v>
      </c>
      <c r="X54" s="83">
        <f t="shared" si="1"/>
        <v>4.3000000000000024E-2</v>
      </c>
      <c r="Y54" s="84">
        <f t="shared" si="7"/>
        <v>0</v>
      </c>
    </row>
    <row r="55" spans="7:25" x14ac:dyDescent="0.25">
      <c r="G55" s="82" t="s">
        <v>29</v>
      </c>
      <c r="H55" s="100">
        <f>H28</f>
        <v>0</v>
      </c>
      <c r="I55" s="92">
        <f>I54</f>
        <v>0</v>
      </c>
      <c r="J55" s="92">
        <f>J54</f>
        <v>0</v>
      </c>
      <c r="K55" s="92">
        <f>K54</f>
        <v>0</v>
      </c>
      <c r="L55" s="92">
        <f>L54</f>
        <v>0</v>
      </c>
      <c r="M55" s="92">
        <f>M54</f>
        <v>0</v>
      </c>
      <c r="N55" s="90"/>
      <c r="X55" s="83">
        <f t="shared" si="1"/>
        <v>4.4000000000000025E-2</v>
      </c>
      <c r="Y55" s="84">
        <f t="shared" si="7"/>
        <v>0</v>
      </c>
    </row>
    <row r="56" spans="7:25" x14ac:dyDescent="0.25">
      <c r="X56" s="83">
        <f t="shared" si="1"/>
        <v>4.5000000000000026E-2</v>
      </c>
      <c r="Y56" s="84">
        <f t="shared" si="7"/>
        <v>0</v>
      </c>
    </row>
    <row r="57" spans="7:25" x14ac:dyDescent="0.25">
      <c r="X57" s="83">
        <f t="shared" si="1"/>
        <v>4.6000000000000027E-2</v>
      </c>
      <c r="Y57" s="84">
        <f t="shared" si="7"/>
        <v>0</v>
      </c>
    </row>
    <row r="58" spans="7:25" x14ac:dyDescent="0.25">
      <c r="G58" s="91" t="s">
        <v>49</v>
      </c>
      <c r="X58" s="83">
        <f t="shared" si="1"/>
        <v>4.7000000000000028E-2</v>
      </c>
      <c r="Y58" s="84">
        <f t="shared" si="7"/>
        <v>0</v>
      </c>
    </row>
    <row r="59" spans="7:25" ht="75" x14ac:dyDescent="0.25">
      <c r="I59" s="86" t="s">
        <v>25</v>
      </c>
      <c r="J59" s="95" t="str">
        <f>IF(simulacion!$S$13&gt;=2,"Al año de iniciar la construcción","")</f>
        <v>Al año de iniciar la construcción</v>
      </c>
      <c r="K59" s="95" t="str">
        <f>IF(simulacion!$S$13&gt;=3,"A los dos años de iniciar la  construcción","")</f>
        <v>A los dos años de iniciar la  construcción</v>
      </c>
      <c r="L59" s="95" t="str">
        <f>IF(simulacion!$S$13&gt;=4,"A los tres años de  iniciar la construcción","")</f>
        <v/>
      </c>
      <c r="M59" s="95" t="str">
        <f>IF(simulacion!$S$13&gt;=5,"A los cuatro años de iniciar la construcción","")</f>
        <v/>
      </c>
      <c r="X59" s="83">
        <f t="shared" si="1"/>
        <v>4.8000000000000029E-2</v>
      </c>
      <c r="Y59" s="84">
        <f t="shared" si="7"/>
        <v>0</v>
      </c>
    </row>
    <row r="60" spans="7:25" x14ac:dyDescent="0.25">
      <c r="G60" s="82" t="s">
        <v>21</v>
      </c>
      <c r="I60" s="92">
        <f>$H$14*I44</f>
        <v>0</v>
      </c>
      <c r="J60" s="92">
        <f t="shared" ref="J60:M60" si="15">$H$14*J44</f>
        <v>0</v>
      </c>
      <c r="K60" s="92">
        <f t="shared" si="15"/>
        <v>0</v>
      </c>
      <c r="L60" s="92">
        <f t="shared" si="15"/>
        <v>0</v>
      </c>
      <c r="M60" s="92">
        <f t="shared" si="15"/>
        <v>0</v>
      </c>
      <c r="N60" s="97">
        <f>SUM(I60:M60)</f>
        <v>0</v>
      </c>
      <c r="X60" s="83">
        <f t="shared" si="1"/>
        <v>4.900000000000003E-2</v>
      </c>
      <c r="Y60" s="84">
        <f t="shared" si="7"/>
        <v>0</v>
      </c>
    </row>
    <row r="61" spans="7:25" x14ac:dyDescent="0.25">
      <c r="G61" s="82" t="s">
        <v>27</v>
      </c>
      <c r="I61" s="92">
        <f>I62+I63</f>
        <v>0</v>
      </c>
      <c r="J61" s="92">
        <f t="shared" ref="J61:M61" si="16">J62+J63</f>
        <v>0</v>
      </c>
      <c r="K61" s="92">
        <f t="shared" si="16"/>
        <v>0</v>
      </c>
      <c r="L61" s="92">
        <f t="shared" si="16"/>
        <v>0</v>
      </c>
      <c r="M61" s="92">
        <f t="shared" si="16"/>
        <v>0</v>
      </c>
      <c r="N61" s="97">
        <f>SUM(I61:M61)</f>
        <v>0</v>
      </c>
      <c r="X61" s="83">
        <f t="shared" si="1"/>
        <v>5.0000000000000031E-2</v>
      </c>
      <c r="Y61" s="84">
        <f t="shared" si="7"/>
        <v>0</v>
      </c>
    </row>
    <row r="62" spans="7:25" x14ac:dyDescent="0.25">
      <c r="G62" s="82" t="s">
        <v>54</v>
      </c>
      <c r="I62" s="92">
        <f>I52</f>
        <v>0</v>
      </c>
      <c r="J62" s="92">
        <f t="shared" ref="J62:M62" si="17">J52</f>
        <v>0</v>
      </c>
      <c r="K62" s="92">
        <f t="shared" si="17"/>
        <v>0</v>
      </c>
      <c r="L62" s="92">
        <f t="shared" si="17"/>
        <v>0</v>
      </c>
      <c r="M62" s="92">
        <f t="shared" si="17"/>
        <v>0</v>
      </c>
      <c r="N62" s="97"/>
      <c r="X62" s="83">
        <f t="shared" si="1"/>
        <v>5.1000000000000031E-2</v>
      </c>
      <c r="Y62" s="84">
        <f t="shared" si="7"/>
        <v>0</v>
      </c>
    </row>
    <row r="63" spans="7:25" x14ac:dyDescent="0.25">
      <c r="G63" s="82" t="s">
        <v>55</v>
      </c>
      <c r="I63" s="92">
        <f>I53</f>
        <v>0</v>
      </c>
      <c r="J63" s="92">
        <f t="shared" ref="J63:M63" si="18">J53</f>
        <v>0</v>
      </c>
      <c r="K63" s="92">
        <f t="shared" si="18"/>
        <v>0</v>
      </c>
      <c r="L63" s="92">
        <f t="shared" si="18"/>
        <v>0</v>
      </c>
      <c r="M63" s="92">
        <f t="shared" si="18"/>
        <v>0</v>
      </c>
      <c r="N63" s="97"/>
      <c r="X63" s="83">
        <f t="shared" si="1"/>
        <v>5.2000000000000032E-2</v>
      </c>
      <c r="Y63" s="84">
        <f t="shared" si="7"/>
        <v>0</v>
      </c>
    </row>
    <row r="64" spans="7:25" x14ac:dyDescent="0.25">
      <c r="G64" s="82" t="s">
        <v>28</v>
      </c>
      <c r="I64" s="92">
        <f>I60-I61</f>
        <v>0</v>
      </c>
      <c r="J64" s="92">
        <f t="shared" ref="J64:M64" si="19">J60-J61</f>
        <v>0</v>
      </c>
      <c r="K64" s="92">
        <f t="shared" si="19"/>
        <v>0</v>
      </c>
      <c r="L64" s="92">
        <f t="shared" si="19"/>
        <v>0</v>
      </c>
      <c r="M64" s="92">
        <f t="shared" si="19"/>
        <v>0</v>
      </c>
      <c r="X64" s="83">
        <f t="shared" si="1"/>
        <v>5.3000000000000033E-2</v>
      </c>
      <c r="Y64" s="84">
        <f t="shared" si="7"/>
        <v>0</v>
      </c>
    </row>
    <row r="65" spans="7:25" x14ac:dyDescent="0.25">
      <c r="G65" s="82" t="s">
        <v>29</v>
      </c>
      <c r="H65" s="100">
        <f>H28</f>
        <v>0</v>
      </c>
      <c r="I65" s="92">
        <f>I64</f>
        <v>0</v>
      </c>
      <c r="J65" s="92">
        <f>J64</f>
        <v>0</v>
      </c>
      <c r="K65" s="92">
        <f>K64</f>
        <v>0</v>
      </c>
      <c r="L65" s="92">
        <f>L64</f>
        <v>0</v>
      </c>
      <c r="M65" s="92">
        <f>M64</f>
        <v>0</v>
      </c>
      <c r="N65" s="90"/>
      <c r="X65" s="83">
        <f t="shared" si="1"/>
        <v>5.4000000000000034E-2</v>
      </c>
      <c r="Y65" s="84">
        <f t="shared" si="7"/>
        <v>0</v>
      </c>
    </row>
    <row r="66" spans="7:25" x14ac:dyDescent="0.25">
      <c r="X66" s="83">
        <f t="shared" si="1"/>
        <v>5.5000000000000035E-2</v>
      </c>
      <c r="Y66" s="84">
        <f t="shared" si="7"/>
        <v>0</v>
      </c>
    </row>
    <row r="67" spans="7:25" x14ac:dyDescent="0.25">
      <c r="X67" s="83">
        <f t="shared" si="1"/>
        <v>5.6000000000000036E-2</v>
      </c>
      <c r="Y67" s="84">
        <f t="shared" si="7"/>
        <v>0</v>
      </c>
    </row>
    <row r="68" spans="7:25" x14ac:dyDescent="0.25">
      <c r="X68" s="83">
        <f t="shared" si="1"/>
        <v>5.7000000000000037E-2</v>
      </c>
      <c r="Y68" s="84">
        <f t="shared" si="7"/>
        <v>0</v>
      </c>
    </row>
    <row r="69" spans="7:25" x14ac:dyDescent="0.25">
      <c r="G69" s="91" t="s">
        <v>73</v>
      </c>
      <c r="J69" s="90"/>
      <c r="X69" s="83">
        <f t="shared" si="1"/>
        <v>5.8000000000000038E-2</v>
      </c>
      <c r="Y69" s="84">
        <f t="shared" si="7"/>
        <v>0</v>
      </c>
    </row>
    <row r="70" spans="7:25" x14ac:dyDescent="0.25">
      <c r="X70" s="83">
        <f t="shared" si="1"/>
        <v>5.9000000000000039E-2</v>
      </c>
      <c r="Y70" s="84">
        <f t="shared" si="7"/>
        <v>0</v>
      </c>
    </row>
    <row r="71" spans="7:25" x14ac:dyDescent="0.25">
      <c r="X71" s="83">
        <f t="shared" si="1"/>
        <v>6.0000000000000039E-2</v>
      </c>
      <c r="Y71" s="84">
        <f t="shared" si="7"/>
        <v>0</v>
      </c>
    </row>
    <row r="72" spans="7:25" x14ac:dyDescent="0.25">
      <c r="X72" s="83">
        <f t="shared" si="1"/>
        <v>6.100000000000004E-2</v>
      </c>
      <c r="Y72" s="84">
        <f t="shared" si="7"/>
        <v>0</v>
      </c>
    </row>
    <row r="73" spans="7:25" x14ac:dyDescent="0.25">
      <c r="G73" s="91" t="s">
        <v>74</v>
      </c>
      <c r="X73" s="83">
        <f t="shared" si="1"/>
        <v>6.2000000000000041E-2</v>
      </c>
      <c r="Y73" s="84">
        <f t="shared" si="7"/>
        <v>0</v>
      </c>
    </row>
    <row r="74" spans="7:25" ht="75" x14ac:dyDescent="0.25">
      <c r="I74" s="86" t="s">
        <v>25</v>
      </c>
      <c r="J74" s="95" t="str">
        <f>IF(simulacion!$S$13&gt;=2,"Al año de iniciar la construcción","")</f>
        <v>Al año de iniciar la construcción</v>
      </c>
      <c r="K74" s="95" t="str">
        <f>IF(simulacion!$S$13&gt;=3,"A los dos años de iniciar la  construcción","")</f>
        <v>A los dos años de iniciar la  construcción</v>
      </c>
      <c r="L74" s="95" t="str">
        <f>IF(simulacion!$S$13&gt;=4,"A los tres años de  iniciar la construcción","")</f>
        <v/>
      </c>
      <c r="M74" s="95" t="str">
        <f>IF(simulacion!$S$13&gt;=5,"A los cuatro años de iniciar la construcción","")</f>
        <v/>
      </c>
      <c r="X74" s="83">
        <f t="shared" si="1"/>
        <v>6.3000000000000042E-2</v>
      </c>
      <c r="Y74" s="84">
        <f t="shared" si="7"/>
        <v>0</v>
      </c>
    </row>
    <row r="75" spans="7:25" x14ac:dyDescent="0.25">
      <c r="G75" s="82" t="s">
        <v>21</v>
      </c>
      <c r="I75" s="96">
        <f>IF($V$13&gt;=1,I14*'2. CalificaciónA'!D27,0)</f>
        <v>0</v>
      </c>
      <c r="J75" s="96">
        <f>IF($V$13&gt;=2,$I$14*'2. CalificaciónA'!$E$27,0)</f>
        <v>0</v>
      </c>
      <c r="K75" s="96">
        <f>IF($V$13&gt;=3,$I$14*'2. CalificaciónA'!$F$27,0)</f>
        <v>0</v>
      </c>
      <c r="L75" s="96">
        <f>IF($V$13&gt;=4,$I$14*'2. CalificaciónA'!$G$27,0)</f>
        <v>0</v>
      </c>
      <c r="M75" s="96">
        <f>IF($V$13&gt;=5,$I$14*'2. CalificaciónA'!$H$27,0)</f>
        <v>0</v>
      </c>
      <c r="N75" s="97">
        <f>SUM(I75:M75)</f>
        <v>0</v>
      </c>
      <c r="X75" s="83">
        <f t="shared" si="1"/>
        <v>6.4000000000000043E-2</v>
      </c>
      <c r="Y75" s="84">
        <f t="shared" si="7"/>
        <v>0</v>
      </c>
    </row>
    <row r="76" spans="7:25" x14ac:dyDescent="0.25">
      <c r="G76" s="82" t="s">
        <v>27</v>
      </c>
      <c r="I76" s="96">
        <f>I77+I78</f>
        <v>0</v>
      </c>
      <c r="J76" s="96">
        <f>J77+J78</f>
        <v>0</v>
      </c>
      <c r="K76" s="96">
        <f t="shared" ref="K76:M76" si="20">K77+K78</f>
        <v>0</v>
      </c>
      <c r="L76" s="96">
        <f t="shared" si="20"/>
        <v>0</v>
      </c>
      <c r="M76" s="96">
        <f t="shared" si="20"/>
        <v>0</v>
      </c>
      <c r="N76" s="97">
        <f>SUM(I76:M76)</f>
        <v>0</v>
      </c>
      <c r="X76" s="83">
        <f t="shared" si="1"/>
        <v>6.5000000000000044E-2</v>
      </c>
      <c r="Y76" s="84">
        <f t="shared" ref="Y76:Y107" si="21">$H$28+NPV(X76,$I$28:$M$28)</f>
        <v>0</v>
      </c>
    </row>
    <row r="77" spans="7:25" x14ac:dyDescent="0.25">
      <c r="G77" s="82" t="s">
        <v>54</v>
      </c>
      <c r="I77" s="98">
        <v>0</v>
      </c>
      <c r="J77" s="96">
        <f>'2. CalificaciónA'!D20*simulacion!I15</f>
        <v>0</v>
      </c>
      <c r="K77" s="96">
        <f>'2. CalificaciónA'!E20*simulacion!I15</f>
        <v>0</v>
      </c>
      <c r="L77" s="99">
        <v>0</v>
      </c>
      <c r="M77" s="99">
        <v>0</v>
      </c>
      <c r="X77" s="83">
        <f t="shared" si="1"/>
        <v>6.6000000000000045E-2</v>
      </c>
      <c r="Y77" s="84">
        <f t="shared" si="21"/>
        <v>0</v>
      </c>
    </row>
    <row r="78" spans="7:25" x14ac:dyDescent="0.25">
      <c r="G78" s="82" t="s">
        <v>55</v>
      </c>
      <c r="I78" s="96">
        <f>IF($V$13&gt;=1,'2. CalificaciónA'!$C$14*'2. CalificaciónA'!D30,0)</f>
        <v>0</v>
      </c>
      <c r="J78" s="96">
        <f>IF($V$13&gt;=2,'2. CalificaciónA'!$C$14*'2. CalificaciónA'!E30,0)</f>
        <v>0</v>
      </c>
      <c r="K78" s="96">
        <f>IF($V$13&gt;=3,'2. CalificaciónA'!$C$14*'2. CalificaciónA'!F30,0)</f>
        <v>0</v>
      </c>
      <c r="L78" s="96">
        <f>IF($V$13&gt;=4,'2. CalificaciónA'!$C$14*'2. CalificaciónA'!G30,0)</f>
        <v>0</v>
      </c>
      <c r="M78" s="96">
        <f>IF($V$13&gt;=5,'2. CalificaciónA'!$C$14*'2. CalificaciónA'!H30,0)</f>
        <v>0</v>
      </c>
      <c r="N78" s="97">
        <f>SUM(I78:M78)</f>
        <v>0</v>
      </c>
      <c r="X78" s="83">
        <f t="shared" si="1"/>
        <v>6.7000000000000046E-2</v>
      </c>
      <c r="Y78" s="84">
        <f t="shared" si="21"/>
        <v>0</v>
      </c>
    </row>
    <row r="79" spans="7:25" x14ac:dyDescent="0.25">
      <c r="G79" s="82" t="s">
        <v>28</v>
      </c>
      <c r="I79" s="96">
        <f>I75-I76</f>
        <v>0</v>
      </c>
      <c r="J79" s="96">
        <f>J75-J76</f>
        <v>0</v>
      </c>
      <c r="K79" s="96">
        <f t="shared" ref="K79:M79" si="22">K75-K76</f>
        <v>0</v>
      </c>
      <c r="L79" s="96">
        <f t="shared" si="22"/>
        <v>0</v>
      </c>
      <c r="M79" s="96">
        <f t="shared" si="22"/>
        <v>0</v>
      </c>
      <c r="N79" s="90"/>
      <c r="X79" s="83">
        <f t="shared" si="1"/>
        <v>6.8000000000000047E-2</v>
      </c>
      <c r="Y79" s="84">
        <f t="shared" si="21"/>
        <v>0</v>
      </c>
    </row>
    <row r="80" spans="7:25" x14ac:dyDescent="0.25">
      <c r="G80" s="82" t="s">
        <v>29</v>
      </c>
      <c r="H80" s="100">
        <f>H65</f>
        <v>0</v>
      </c>
      <c r="I80" s="96">
        <f>I79</f>
        <v>0</v>
      </c>
      <c r="J80" s="96">
        <f>J79</f>
        <v>0</v>
      </c>
      <c r="K80" s="96">
        <f>K79</f>
        <v>0</v>
      </c>
      <c r="L80" s="96">
        <f>L79</f>
        <v>0</v>
      </c>
      <c r="M80" s="96">
        <f>M79</f>
        <v>0</v>
      </c>
      <c r="X80" s="83">
        <f t="shared" si="1"/>
        <v>6.9000000000000047E-2</v>
      </c>
      <c r="Y80" s="84">
        <f t="shared" si="21"/>
        <v>0</v>
      </c>
    </row>
    <row r="81" spans="7:25" x14ac:dyDescent="0.25">
      <c r="X81" s="83">
        <f t="shared" si="1"/>
        <v>7.0000000000000048E-2</v>
      </c>
      <c r="Y81" s="84">
        <f t="shared" si="21"/>
        <v>0</v>
      </c>
    </row>
    <row r="82" spans="7:25" x14ac:dyDescent="0.25">
      <c r="X82" s="83">
        <f t="shared" si="1"/>
        <v>7.1000000000000049E-2</v>
      </c>
      <c r="Y82" s="84">
        <f t="shared" si="21"/>
        <v>0</v>
      </c>
    </row>
    <row r="83" spans="7:25" x14ac:dyDescent="0.25">
      <c r="G83" s="91" t="s">
        <v>52</v>
      </c>
      <c r="H83" s="89">
        <f>'3. Escenarios'!E36</f>
        <v>0</v>
      </c>
      <c r="I83" s="88">
        <v>1</v>
      </c>
      <c r="J83" s="88">
        <v>2</v>
      </c>
      <c r="K83" s="88">
        <v>3</v>
      </c>
      <c r="L83" s="88">
        <v>4</v>
      </c>
      <c r="M83" s="88">
        <v>5</v>
      </c>
      <c r="X83" s="83">
        <f t="shared" si="1"/>
        <v>7.200000000000005E-2</v>
      </c>
      <c r="Y83" s="84">
        <f t="shared" si="21"/>
        <v>0</v>
      </c>
    </row>
    <row r="84" spans="7:25" ht="75" x14ac:dyDescent="0.25">
      <c r="I84" s="101" t="s">
        <v>25</v>
      </c>
      <c r="J84" s="95" t="str">
        <f>IF(simulacion!$S$13&gt;=2,"Al año de iniciar la construcción","")</f>
        <v>Al año de iniciar la construcción</v>
      </c>
      <c r="K84" s="95" t="str">
        <f>IF(simulacion!$S$13&gt;=3,"A los dos años de iniciar la  construcción","")</f>
        <v>A los dos años de iniciar la  construcción</v>
      </c>
      <c r="L84" s="95" t="str">
        <f>IF(simulacion!$S$13&gt;=4,"A los tres años de  iniciar la construcción","")</f>
        <v/>
      </c>
      <c r="M84" s="95" t="str">
        <f>IF(simulacion!$S$13&gt;=5,"A los cuatro años de iniciar la construcción","")</f>
        <v/>
      </c>
      <c r="N84" s="101" t="s">
        <v>17</v>
      </c>
      <c r="X84" s="83">
        <f t="shared" si="1"/>
        <v>7.3000000000000051E-2</v>
      </c>
      <c r="Y84" s="84">
        <f t="shared" si="21"/>
        <v>0</v>
      </c>
    </row>
    <row r="85" spans="7:25" x14ac:dyDescent="0.25">
      <c r="G85" s="82" t="s">
        <v>50</v>
      </c>
      <c r="I85" s="102">
        <f>IF($V$13&gt;=1,'2. CalificaciónA'!D27,0)</f>
        <v>0</v>
      </c>
      <c r="J85" s="102">
        <f>IF($V$13&gt;=2,'2. CalificaciónA'!E27,0)</f>
        <v>0</v>
      </c>
      <c r="K85" s="102">
        <f>IF($V$13&gt;=3,'2. CalificaciónA'!F27,0)</f>
        <v>0</v>
      </c>
      <c r="L85" s="102">
        <f>IF($V$13&gt;=4,'2. CalificaciónA'!G27,0)</f>
        <v>0</v>
      </c>
      <c r="M85" s="102">
        <f>IF($V$13&gt;=5,'2. CalificaciónA'!H27,0)</f>
        <v>0</v>
      </c>
      <c r="N85" s="102">
        <f>SUM(I85:M85)</f>
        <v>0</v>
      </c>
      <c r="X85" s="83">
        <f t="shared" si="1"/>
        <v>7.4000000000000052E-2</v>
      </c>
      <c r="Y85" s="84">
        <f t="shared" si="21"/>
        <v>0</v>
      </c>
    </row>
    <row r="86" spans="7:25" x14ac:dyDescent="0.25">
      <c r="G86" s="82" t="s">
        <v>35</v>
      </c>
      <c r="I86" s="103">
        <f>I85*(1+$H$83)</f>
        <v>0</v>
      </c>
      <c r="J86" s="103">
        <f t="shared" ref="J86:M86" si="23">J85*(1+$H$83)</f>
        <v>0</v>
      </c>
      <c r="K86" s="103">
        <f t="shared" si="23"/>
        <v>0</v>
      </c>
      <c r="L86" s="103">
        <f t="shared" si="23"/>
        <v>0</v>
      </c>
      <c r="M86" s="103">
        <f t="shared" si="23"/>
        <v>0</v>
      </c>
      <c r="N86" s="89"/>
      <c r="X86" s="83">
        <f t="shared" si="1"/>
        <v>7.5000000000000053E-2</v>
      </c>
      <c r="Y86" s="84">
        <f t="shared" si="21"/>
        <v>0</v>
      </c>
    </row>
    <row r="87" spans="7:25" x14ac:dyDescent="0.25">
      <c r="G87" s="82" t="s">
        <v>51</v>
      </c>
      <c r="I87" s="103">
        <f>100%-I86</f>
        <v>1</v>
      </c>
      <c r="J87" s="103">
        <f>100%-I88-J88</f>
        <v>1</v>
      </c>
      <c r="K87" s="103">
        <f>100%-I88-J88-K88</f>
        <v>1</v>
      </c>
      <c r="L87" s="103">
        <f>100%-I88-J88-K88-L88</f>
        <v>1</v>
      </c>
      <c r="M87" s="103">
        <f>100%-I88-J88-K88-L88</f>
        <v>1</v>
      </c>
      <c r="N87" s="87"/>
      <c r="X87" s="83">
        <f t="shared" si="1"/>
        <v>7.6000000000000054E-2</v>
      </c>
      <c r="Y87" s="84">
        <f t="shared" si="21"/>
        <v>0</v>
      </c>
    </row>
    <row r="88" spans="7:25" x14ac:dyDescent="0.25">
      <c r="G88" s="82" t="s">
        <v>36</v>
      </c>
      <c r="I88" s="102">
        <f>I86</f>
        <v>0</v>
      </c>
      <c r="J88" s="102">
        <f>IF(I87&lt;J86,100%-I86,J86)</f>
        <v>0</v>
      </c>
      <c r="K88" s="102">
        <f>IF(K86&lt;J87,K86,100%-I88-J88)</f>
        <v>0</v>
      </c>
      <c r="L88" s="102">
        <f>IF(L86&lt;K87,L86,100%-I88-J88-K88)</f>
        <v>0</v>
      </c>
      <c r="M88" s="89">
        <f>IF(S65=5,100%-I88-J88-K88-L88,0%)</f>
        <v>0</v>
      </c>
      <c r="N88" s="87">
        <f t="shared" ref="N88" si="24">SUM(I88:M88)</f>
        <v>0</v>
      </c>
      <c r="X88" s="83">
        <f t="shared" si="1"/>
        <v>7.7000000000000055E-2</v>
      </c>
      <c r="Y88" s="84">
        <f t="shared" si="21"/>
        <v>0</v>
      </c>
    </row>
    <row r="89" spans="7:25" x14ac:dyDescent="0.25">
      <c r="G89" s="82" t="s">
        <v>37</v>
      </c>
      <c r="I89" s="88">
        <f>IF(I88&gt;0,1,0)</f>
        <v>0</v>
      </c>
      <c r="J89" s="88">
        <f t="shared" ref="J89:M89" si="25">IF(J88&gt;0,1,0)</f>
        <v>0</v>
      </c>
      <c r="K89" s="88">
        <f t="shared" si="25"/>
        <v>0</v>
      </c>
      <c r="L89" s="88">
        <f t="shared" si="25"/>
        <v>0</v>
      </c>
      <c r="M89" s="88">
        <f t="shared" si="25"/>
        <v>0</v>
      </c>
      <c r="N89" s="88">
        <f>SUM(I89:M89)</f>
        <v>0</v>
      </c>
      <c r="O89" s="82" t="s">
        <v>38</v>
      </c>
      <c r="X89" s="83">
        <f t="shared" si="1"/>
        <v>7.8000000000000055E-2</v>
      </c>
      <c r="Y89" s="84">
        <f t="shared" si="21"/>
        <v>0</v>
      </c>
    </row>
    <row r="90" spans="7:25" x14ac:dyDescent="0.25">
      <c r="X90" s="83">
        <f t="shared" si="1"/>
        <v>7.9000000000000056E-2</v>
      </c>
      <c r="Y90" s="84">
        <f t="shared" si="21"/>
        <v>0</v>
      </c>
    </row>
    <row r="91" spans="7:25" x14ac:dyDescent="0.25">
      <c r="G91" s="91" t="s">
        <v>53</v>
      </c>
      <c r="H91" s="89">
        <f>'3. Escenarios'!E37</f>
        <v>0</v>
      </c>
      <c r="X91" s="83">
        <f t="shared" si="1"/>
        <v>8.0000000000000057E-2</v>
      </c>
      <c r="Y91" s="84">
        <f t="shared" si="21"/>
        <v>0</v>
      </c>
    </row>
    <row r="92" spans="7:25" ht="75" x14ac:dyDescent="0.25">
      <c r="I92" s="101" t="s">
        <v>25</v>
      </c>
      <c r="J92" s="95" t="str">
        <f>IF(simulacion!$S$13&gt;=2,"Al año de iniciar la construcción","")</f>
        <v>Al año de iniciar la construcción</v>
      </c>
      <c r="K92" s="95" t="str">
        <f>IF(simulacion!$S$13&gt;=3,"A los dos años de iniciar la  construcción","")</f>
        <v>A los dos años de iniciar la  construcción</v>
      </c>
      <c r="L92" s="95" t="str">
        <f>IF(simulacion!$S$13&gt;=4,"A los tres años de  iniciar la construcción","")</f>
        <v/>
      </c>
      <c r="M92" s="95" t="str">
        <f>IF(simulacion!$S$13&gt;=5,"A los cuatro años de iniciar la construcción","")</f>
        <v/>
      </c>
      <c r="N92" s="101" t="s">
        <v>17</v>
      </c>
      <c r="X92" s="83">
        <f t="shared" si="1"/>
        <v>8.1000000000000058E-2</v>
      </c>
      <c r="Y92" s="84">
        <f t="shared" si="21"/>
        <v>0</v>
      </c>
    </row>
    <row r="93" spans="7:25" x14ac:dyDescent="0.25">
      <c r="G93" s="82" t="s">
        <v>50</v>
      </c>
      <c r="I93" s="102">
        <f>I85</f>
        <v>0</v>
      </c>
      <c r="J93" s="102">
        <f t="shared" ref="J93:M93" si="26">J85</f>
        <v>0</v>
      </c>
      <c r="K93" s="102">
        <f t="shared" si="26"/>
        <v>0</v>
      </c>
      <c r="L93" s="102">
        <f t="shared" si="26"/>
        <v>0</v>
      </c>
      <c r="M93" s="102">
        <f t="shared" si="26"/>
        <v>0</v>
      </c>
      <c r="N93" s="102">
        <f>SUM(I93:M93)</f>
        <v>0</v>
      </c>
      <c r="X93" s="83">
        <f t="shared" ref="X93:X111" si="27">X92+0.001</f>
        <v>8.2000000000000059E-2</v>
      </c>
      <c r="Y93" s="84">
        <f t="shared" si="21"/>
        <v>0</v>
      </c>
    </row>
    <row r="94" spans="7:25" x14ac:dyDescent="0.25">
      <c r="G94" s="82" t="s">
        <v>35</v>
      </c>
      <c r="I94" s="103">
        <f>I93*(100%-$H$91)</f>
        <v>0</v>
      </c>
      <c r="J94" s="103">
        <f t="shared" ref="J94:M94" si="28">J93*(100%-$H$91)</f>
        <v>0</v>
      </c>
      <c r="K94" s="103">
        <f t="shared" si="28"/>
        <v>0</v>
      </c>
      <c r="L94" s="103">
        <f t="shared" si="28"/>
        <v>0</v>
      </c>
      <c r="M94" s="103">
        <f t="shared" si="28"/>
        <v>0</v>
      </c>
      <c r="N94" s="87"/>
      <c r="X94" s="83">
        <f t="shared" si="27"/>
        <v>8.300000000000006E-2</v>
      </c>
      <c r="Y94" s="84">
        <f t="shared" si="21"/>
        <v>0</v>
      </c>
    </row>
    <row r="95" spans="7:25" x14ac:dyDescent="0.25">
      <c r="G95" s="82" t="s">
        <v>51</v>
      </c>
      <c r="I95" s="102">
        <f>100%-I96</f>
        <v>1</v>
      </c>
      <c r="J95" s="102">
        <f>100%-I96-J94</f>
        <v>1</v>
      </c>
      <c r="K95" s="102">
        <f>100%-K96-J96-I96</f>
        <v>1</v>
      </c>
      <c r="L95" s="102">
        <f>100%-L96-K96-J96-I96</f>
        <v>0</v>
      </c>
      <c r="M95" s="102">
        <f>IF(S65=5,100%-L96-K96-J96-I96,0%)</f>
        <v>0</v>
      </c>
      <c r="N95" s="87"/>
      <c r="X95" s="83">
        <f t="shared" si="27"/>
        <v>8.4000000000000061E-2</v>
      </c>
      <c r="Y95" s="84">
        <f t="shared" si="21"/>
        <v>0</v>
      </c>
    </row>
    <row r="96" spans="7:25" x14ac:dyDescent="0.25">
      <c r="G96" s="82" t="s">
        <v>36</v>
      </c>
      <c r="I96" s="102">
        <f>I94</f>
        <v>0</v>
      </c>
      <c r="J96" s="102">
        <f>IF(V13&lt;2,100%-I96,IF(J94&lt;=I95,J94))</f>
        <v>0</v>
      </c>
      <c r="K96" s="102">
        <f>IF($V$13&lt;3,100%-I96-J96,IF(K94&lt;=J95,K94))</f>
        <v>0</v>
      </c>
      <c r="L96" s="102">
        <f>IF($V$13&lt;4,100%-I96-J96-K96,IF(L94&lt;=K95,L94))</f>
        <v>1</v>
      </c>
      <c r="M96" s="102">
        <f>IF($V$13=5,100%-I96-J96-K96-L96,0%)</f>
        <v>0</v>
      </c>
      <c r="N96" s="87">
        <f>SUM(I96:M96)</f>
        <v>1</v>
      </c>
      <c r="X96" s="83">
        <f t="shared" si="27"/>
        <v>8.5000000000000062E-2</v>
      </c>
      <c r="Y96" s="84">
        <f t="shared" si="21"/>
        <v>0</v>
      </c>
    </row>
    <row r="97" spans="7:25" x14ac:dyDescent="0.25">
      <c r="G97" s="82" t="s">
        <v>37</v>
      </c>
      <c r="I97" s="88">
        <f>IF(I96&gt;0,1,0)</f>
        <v>0</v>
      </c>
      <c r="J97" s="88">
        <f t="shared" ref="J97:M97" si="29">IF(J96&gt;0,1,0)</f>
        <v>0</v>
      </c>
      <c r="K97" s="88">
        <f t="shared" si="29"/>
        <v>0</v>
      </c>
      <c r="L97" s="88">
        <f t="shared" si="29"/>
        <v>1</v>
      </c>
      <c r="M97" s="88">
        <f t="shared" si="29"/>
        <v>0</v>
      </c>
      <c r="N97" s="88">
        <f>SUM(I97:M97)</f>
        <v>1</v>
      </c>
      <c r="O97" s="82" t="s">
        <v>38</v>
      </c>
      <c r="X97" s="83">
        <f t="shared" si="27"/>
        <v>8.6000000000000063E-2</v>
      </c>
      <c r="Y97" s="84">
        <f t="shared" si="21"/>
        <v>0</v>
      </c>
    </row>
    <row r="98" spans="7:25" x14ac:dyDescent="0.25">
      <c r="X98" s="83">
        <f t="shared" si="27"/>
        <v>8.7000000000000063E-2</v>
      </c>
      <c r="Y98" s="84">
        <f t="shared" si="21"/>
        <v>0</v>
      </c>
    </row>
    <row r="99" spans="7:25" x14ac:dyDescent="0.25">
      <c r="X99" s="83">
        <f t="shared" si="27"/>
        <v>8.8000000000000064E-2</v>
      </c>
      <c r="Y99" s="84">
        <f t="shared" si="21"/>
        <v>0</v>
      </c>
    </row>
    <row r="100" spans="7:25" x14ac:dyDescent="0.25">
      <c r="G100" s="91" t="s">
        <v>48</v>
      </c>
      <c r="X100" s="83">
        <f t="shared" si="27"/>
        <v>8.9000000000000065E-2</v>
      </c>
      <c r="Y100" s="84">
        <f t="shared" si="21"/>
        <v>0</v>
      </c>
    </row>
    <row r="101" spans="7:25" ht="75" x14ac:dyDescent="0.25">
      <c r="I101" s="86" t="s">
        <v>25</v>
      </c>
      <c r="J101" s="95" t="str">
        <f>IF(simulacion!$S$13&gt;=2,"Al año de iniciar la construcción","")</f>
        <v>Al año de iniciar la construcción</v>
      </c>
      <c r="K101" s="95" t="str">
        <f>IF(simulacion!$S$13&gt;=3,"A los dos años de iniciar la  construcción","")</f>
        <v>A los dos años de iniciar la  construcción</v>
      </c>
      <c r="L101" s="95" t="str">
        <f>IF(simulacion!$S$13&gt;=4,"A los tres años de  iniciar la construcción","")</f>
        <v/>
      </c>
      <c r="M101" s="95" t="str">
        <f>IF(simulacion!$S$13&gt;=5,"A los cuatro años de iniciar la construcción","")</f>
        <v/>
      </c>
      <c r="X101" s="83">
        <f t="shared" si="27"/>
        <v>9.0000000000000066E-2</v>
      </c>
      <c r="Y101" s="84">
        <f t="shared" si="21"/>
        <v>0</v>
      </c>
    </row>
    <row r="102" spans="7:25" x14ac:dyDescent="0.25">
      <c r="G102" s="82" t="s">
        <v>21</v>
      </c>
      <c r="I102" s="92">
        <f>$I$14*I88</f>
        <v>0</v>
      </c>
      <c r="J102" s="92">
        <f t="shared" ref="J102:M102" si="30">$I$14*J88</f>
        <v>0</v>
      </c>
      <c r="K102" s="92">
        <f t="shared" si="30"/>
        <v>0</v>
      </c>
      <c r="L102" s="92">
        <f t="shared" si="30"/>
        <v>0</v>
      </c>
      <c r="M102" s="92">
        <f t="shared" si="30"/>
        <v>0</v>
      </c>
      <c r="N102" s="97">
        <f>SUM(I102:M102)</f>
        <v>0</v>
      </c>
      <c r="X102" s="83">
        <f t="shared" si="27"/>
        <v>9.1000000000000067E-2</v>
      </c>
      <c r="Y102" s="84">
        <f t="shared" si="21"/>
        <v>0</v>
      </c>
    </row>
    <row r="103" spans="7:25" x14ac:dyDescent="0.25">
      <c r="G103" s="82" t="s">
        <v>27</v>
      </c>
      <c r="I103" s="92">
        <f>I104+I105</f>
        <v>0</v>
      </c>
      <c r="J103" s="92">
        <f t="shared" ref="J103:M103" si="31">J104+J105</f>
        <v>0</v>
      </c>
      <c r="K103" s="92">
        <f t="shared" si="31"/>
        <v>0</v>
      </c>
      <c r="L103" s="92">
        <f t="shared" si="31"/>
        <v>0</v>
      </c>
      <c r="M103" s="92">
        <f t="shared" si="31"/>
        <v>0</v>
      </c>
      <c r="N103" s="97">
        <f>SUM(I103:M103)</f>
        <v>0</v>
      </c>
      <c r="X103" s="83">
        <f t="shared" si="27"/>
        <v>9.2000000000000068E-2</v>
      </c>
      <c r="Y103" s="84">
        <f t="shared" si="21"/>
        <v>0</v>
      </c>
    </row>
    <row r="104" spans="7:25" x14ac:dyDescent="0.25">
      <c r="G104" s="82" t="s">
        <v>54</v>
      </c>
      <c r="I104" s="92">
        <v>0</v>
      </c>
      <c r="J104" s="92">
        <f>J77</f>
        <v>0</v>
      </c>
      <c r="K104" s="92">
        <f>K77</f>
        <v>0</v>
      </c>
      <c r="L104" s="92">
        <v>0</v>
      </c>
      <c r="M104" s="92">
        <v>0</v>
      </c>
      <c r="N104" s="97"/>
      <c r="X104" s="83">
        <f t="shared" si="27"/>
        <v>9.3000000000000069E-2</v>
      </c>
      <c r="Y104" s="84">
        <f t="shared" si="21"/>
        <v>0</v>
      </c>
    </row>
    <row r="105" spans="7:25" x14ac:dyDescent="0.25">
      <c r="G105" s="82" t="s">
        <v>55</v>
      </c>
      <c r="I105" s="92">
        <f>I78</f>
        <v>0</v>
      </c>
      <c r="J105" s="92">
        <f>J78</f>
        <v>0</v>
      </c>
      <c r="K105" s="92">
        <f>K78</f>
        <v>0</v>
      </c>
      <c r="L105" s="92">
        <f>L78</f>
        <v>0</v>
      </c>
      <c r="M105" s="92">
        <f>M78</f>
        <v>0</v>
      </c>
      <c r="N105" s="97">
        <f>SUM(I105:M105)</f>
        <v>0</v>
      </c>
      <c r="X105" s="83">
        <f t="shared" si="27"/>
        <v>9.400000000000007E-2</v>
      </c>
      <c r="Y105" s="84">
        <f t="shared" si="21"/>
        <v>0</v>
      </c>
    </row>
    <row r="106" spans="7:25" x14ac:dyDescent="0.25">
      <c r="G106" s="82" t="s">
        <v>28</v>
      </c>
      <c r="I106" s="92">
        <f>I102-I103</f>
        <v>0</v>
      </c>
      <c r="J106" s="92">
        <f>J102-J103</f>
        <v>0</v>
      </c>
      <c r="K106" s="92">
        <f t="shared" ref="K106:M106" si="32">K102-K103</f>
        <v>0</v>
      </c>
      <c r="L106" s="92">
        <f t="shared" si="32"/>
        <v>0</v>
      </c>
      <c r="M106" s="92">
        <f t="shared" si="32"/>
        <v>0</v>
      </c>
      <c r="X106" s="83">
        <f t="shared" si="27"/>
        <v>9.500000000000007E-2</v>
      </c>
      <c r="Y106" s="84">
        <f t="shared" si="21"/>
        <v>0</v>
      </c>
    </row>
    <row r="107" spans="7:25" x14ac:dyDescent="0.25">
      <c r="G107" s="82" t="s">
        <v>29</v>
      </c>
      <c r="H107" s="100">
        <f>H80</f>
        <v>0</v>
      </c>
      <c r="I107" s="92">
        <f>I106</f>
        <v>0</v>
      </c>
      <c r="J107" s="92">
        <f>J106</f>
        <v>0</v>
      </c>
      <c r="K107" s="92">
        <f>K106</f>
        <v>0</v>
      </c>
      <c r="L107" s="92">
        <f>L106</f>
        <v>0</v>
      </c>
      <c r="M107" s="92">
        <f>M106</f>
        <v>0</v>
      </c>
      <c r="N107" s="90"/>
      <c r="X107" s="83">
        <f t="shared" si="27"/>
        <v>9.6000000000000071E-2</v>
      </c>
      <c r="Y107" s="84">
        <f t="shared" si="21"/>
        <v>0</v>
      </c>
    </row>
    <row r="108" spans="7:25" x14ac:dyDescent="0.25">
      <c r="X108" s="83">
        <f t="shared" si="27"/>
        <v>9.7000000000000072E-2</v>
      </c>
      <c r="Y108" s="84">
        <f t="shared" ref="Y108:Y111" si="33">$H$28+NPV(X108,$I$28:$M$28)</f>
        <v>0</v>
      </c>
    </row>
    <row r="109" spans="7:25" x14ac:dyDescent="0.25">
      <c r="X109" s="83">
        <f t="shared" si="27"/>
        <v>9.8000000000000073E-2</v>
      </c>
      <c r="Y109" s="84">
        <f t="shared" si="33"/>
        <v>0</v>
      </c>
    </row>
    <row r="110" spans="7:25" x14ac:dyDescent="0.25">
      <c r="G110" s="91" t="s">
        <v>49</v>
      </c>
      <c r="X110" s="83">
        <f t="shared" si="27"/>
        <v>9.9000000000000074E-2</v>
      </c>
      <c r="Y110" s="84">
        <f t="shared" si="33"/>
        <v>0</v>
      </c>
    </row>
    <row r="111" spans="7:25" ht="75" x14ac:dyDescent="0.25">
      <c r="I111" s="86" t="s">
        <v>25</v>
      </c>
      <c r="J111" s="95" t="str">
        <f>IF(simulacion!$S$13&gt;=2,"Al año de iniciar la construcción","")</f>
        <v>Al año de iniciar la construcción</v>
      </c>
      <c r="K111" s="95" t="str">
        <f>IF(simulacion!$S$13&gt;=3,"A los dos años de iniciar la  construcción","")</f>
        <v>A los dos años de iniciar la  construcción</v>
      </c>
      <c r="L111" s="95" t="str">
        <f>IF(simulacion!$S$13&gt;=4,"A los tres años de  iniciar la construcción","")</f>
        <v/>
      </c>
      <c r="M111" s="95" t="str">
        <f>IF(simulacion!$S$13&gt;=5,"A los cuatro años de iniciar la construcción","")</f>
        <v/>
      </c>
      <c r="X111" s="83">
        <f t="shared" si="27"/>
        <v>0.10000000000000007</v>
      </c>
      <c r="Y111" s="84">
        <f t="shared" si="33"/>
        <v>0</v>
      </c>
    </row>
    <row r="112" spans="7:25" x14ac:dyDescent="0.25">
      <c r="G112" s="82" t="s">
        <v>21</v>
      </c>
      <c r="I112" s="92">
        <f>$I$14*I96</f>
        <v>0</v>
      </c>
      <c r="J112" s="92">
        <f t="shared" ref="J112:M112" si="34">$I$14*J96</f>
        <v>0</v>
      </c>
      <c r="K112" s="92">
        <f t="shared" si="34"/>
        <v>0</v>
      </c>
      <c r="L112" s="92">
        <f t="shared" si="34"/>
        <v>0</v>
      </c>
      <c r="M112" s="92">
        <f t="shared" si="34"/>
        <v>0</v>
      </c>
      <c r="N112" s="97">
        <f>SUM(I112:M112)</f>
        <v>0</v>
      </c>
      <c r="X112" s="83"/>
      <c r="Y112" s="84"/>
    </row>
    <row r="113" spans="7:25" x14ac:dyDescent="0.25">
      <c r="G113" s="82" t="s">
        <v>27</v>
      </c>
      <c r="I113" s="92">
        <f>I114+I115</f>
        <v>0</v>
      </c>
      <c r="J113" s="92">
        <f t="shared" ref="J113:M113" si="35">J114+J115</f>
        <v>0</v>
      </c>
      <c r="K113" s="92">
        <f t="shared" si="35"/>
        <v>0</v>
      </c>
      <c r="L113" s="92">
        <f t="shared" si="35"/>
        <v>0</v>
      </c>
      <c r="M113" s="92">
        <f t="shared" si="35"/>
        <v>0</v>
      </c>
      <c r="N113" s="97">
        <f>SUM(I113:M113)</f>
        <v>0</v>
      </c>
      <c r="X113" s="83"/>
      <c r="Y113" s="84"/>
    </row>
    <row r="114" spans="7:25" x14ac:dyDescent="0.25">
      <c r="G114" s="82" t="s">
        <v>54</v>
      </c>
      <c r="I114" s="92">
        <f>I104</f>
        <v>0</v>
      </c>
      <c r="J114" s="92">
        <f t="shared" ref="J114:M114" si="36">J104</f>
        <v>0</v>
      </c>
      <c r="K114" s="92">
        <f t="shared" si="36"/>
        <v>0</v>
      </c>
      <c r="L114" s="92">
        <f t="shared" si="36"/>
        <v>0</v>
      </c>
      <c r="M114" s="92">
        <f t="shared" si="36"/>
        <v>0</v>
      </c>
      <c r="N114" s="97"/>
      <c r="X114" s="83"/>
      <c r="Y114" s="84"/>
    </row>
    <row r="115" spans="7:25" x14ac:dyDescent="0.25">
      <c r="G115" s="82" t="s">
        <v>55</v>
      </c>
      <c r="I115" s="92">
        <f>I105</f>
        <v>0</v>
      </c>
      <c r="J115" s="92">
        <f t="shared" ref="J115:M115" si="37">J105</f>
        <v>0</v>
      </c>
      <c r="K115" s="92">
        <f t="shared" si="37"/>
        <v>0</v>
      </c>
      <c r="L115" s="92">
        <f t="shared" si="37"/>
        <v>0</v>
      </c>
      <c r="M115" s="92">
        <f t="shared" si="37"/>
        <v>0</v>
      </c>
      <c r="N115" s="97"/>
      <c r="X115" s="83"/>
      <c r="Y115" s="84"/>
    </row>
    <row r="116" spans="7:25" x14ac:dyDescent="0.25">
      <c r="G116" s="82" t="s">
        <v>28</v>
      </c>
      <c r="I116" s="92">
        <f>I112-I113</f>
        <v>0</v>
      </c>
      <c r="J116" s="92">
        <f t="shared" ref="J116:M116" si="38">J112-J113</f>
        <v>0</v>
      </c>
      <c r="K116" s="92">
        <f t="shared" si="38"/>
        <v>0</v>
      </c>
      <c r="L116" s="92">
        <f t="shared" si="38"/>
        <v>0</v>
      </c>
      <c r="M116" s="92">
        <f t="shared" si="38"/>
        <v>0</v>
      </c>
      <c r="X116" s="83"/>
      <c r="Y116" s="84"/>
    </row>
    <row r="117" spans="7:25" x14ac:dyDescent="0.25">
      <c r="G117" s="82" t="s">
        <v>29</v>
      </c>
      <c r="H117" s="100">
        <f>H80</f>
        <v>0</v>
      </c>
      <c r="I117" s="92">
        <f>I116</f>
        <v>0</v>
      </c>
      <c r="J117" s="92">
        <f>J116</f>
        <v>0</v>
      </c>
      <c r="K117" s="92">
        <f>K116</f>
        <v>0</v>
      </c>
      <c r="L117" s="92">
        <f>L116</f>
        <v>0</v>
      </c>
      <c r="M117" s="92">
        <f>M116</f>
        <v>0</v>
      </c>
      <c r="N117" s="90"/>
      <c r="X117" s="83"/>
      <c r="Y117" s="84"/>
    </row>
    <row r="118" spans="7:25" x14ac:dyDescent="0.25">
      <c r="X118" s="83"/>
      <c r="Y118" s="84"/>
    </row>
    <row r="119" spans="7:25" x14ac:dyDescent="0.25">
      <c r="X119" s="83"/>
      <c r="Y119" s="84"/>
    </row>
    <row r="120" spans="7:25" x14ac:dyDescent="0.25">
      <c r="X120" s="83"/>
      <c r="Y120" s="84"/>
    </row>
    <row r="121" spans="7:25" x14ac:dyDescent="0.25">
      <c r="X121" s="83"/>
      <c r="Y121" s="84"/>
    </row>
    <row r="122" spans="7:25" x14ac:dyDescent="0.25">
      <c r="X122" s="83"/>
      <c r="Y122" s="84"/>
    </row>
    <row r="123" spans="7:25" x14ac:dyDescent="0.25">
      <c r="X123" s="83"/>
      <c r="Y123" s="84"/>
    </row>
    <row r="124" spans="7:25" x14ac:dyDescent="0.25">
      <c r="X124" s="83"/>
      <c r="Y124" s="84"/>
    </row>
    <row r="125" spans="7:25" x14ac:dyDescent="0.25">
      <c r="X125" s="83"/>
      <c r="Y125" s="84"/>
    </row>
    <row r="126" spans="7:25" x14ac:dyDescent="0.25">
      <c r="X126" s="83"/>
      <c r="Y126" s="84"/>
    </row>
    <row r="127" spans="7:25" x14ac:dyDescent="0.25">
      <c r="X127" s="83"/>
      <c r="Y127" s="84"/>
    </row>
    <row r="128" spans="7:25" x14ac:dyDescent="0.25">
      <c r="X128" s="83"/>
      <c r="Y128" s="84"/>
    </row>
    <row r="129" spans="24:25" x14ac:dyDescent="0.25">
      <c r="X129" s="83"/>
      <c r="Y129" s="84"/>
    </row>
    <row r="130" spans="24:25" x14ac:dyDescent="0.25">
      <c r="X130" s="83"/>
      <c r="Y130" s="84"/>
    </row>
    <row r="131" spans="24:25" x14ac:dyDescent="0.25">
      <c r="X131" s="83"/>
      <c r="Y131" s="84"/>
    </row>
    <row r="132" spans="24:25" x14ac:dyDescent="0.25">
      <c r="X132" s="83"/>
      <c r="Y132" s="84"/>
    </row>
    <row r="133" spans="24:25" x14ac:dyDescent="0.25">
      <c r="X133" s="83"/>
      <c r="Y133" s="84"/>
    </row>
    <row r="134" spans="24:25" x14ac:dyDescent="0.25">
      <c r="X134" s="83"/>
      <c r="Y134" s="84"/>
    </row>
    <row r="135" spans="24:25" x14ac:dyDescent="0.25">
      <c r="X135" s="83"/>
      <c r="Y135" s="84"/>
    </row>
    <row r="136" spans="24:25" x14ac:dyDescent="0.25">
      <c r="X136" s="83"/>
      <c r="Y136" s="84"/>
    </row>
    <row r="137" spans="24:25" x14ac:dyDescent="0.25">
      <c r="X137" s="83"/>
      <c r="Y137" s="84"/>
    </row>
    <row r="138" spans="24:25" x14ac:dyDescent="0.25">
      <c r="X138" s="83"/>
      <c r="Y138" s="84"/>
    </row>
    <row r="139" spans="24:25" x14ac:dyDescent="0.25">
      <c r="X139" s="83"/>
      <c r="Y139" s="84"/>
    </row>
    <row r="140" spans="24:25" x14ac:dyDescent="0.25">
      <c r="X140" s="83"/>
      <c r="Y140" s="84"/>
    </row>
    <row r="141" spans="24:25" x14ac:dyDescent="0.25">
      <c r="X141" s="83"/>
      <c r="Y141" s="84"/>
    </row>
    <row r="142" spans="24:25" x14ac:dyDescent="0.25">
      <c r="X142" s="83"/>
      <c r="Y142" s="84"/>
    </row>
    <row r="143" spans="24:25" x14ac:dyDescent="0.25">
      <c r="X143" s="83"/>
      <c r="Y143" s="84"/>
    </row>
    <row r="144" spans="24:25" x14ac:dyDescent="0.25">
      <c r="X144" s="83"/>
      <c r="Y144" s="84"/>
    </row>
    <row r="145" spans="24:25" x14ac:dyDescent="0.25">
      <c r="X145" s="83"/>
      <c r="Y145" s="84"/>
    </row>
    <row r="146" spans="24:25" x14ac:dyDescent="0.25">
      <c r="X146" s="83"/>
      <c r="Y146" s="84"/>
    </row>
    <row r="147" spans="24:25" x14ac:dyDescent="0.25">
      <c r="X147" s="83"/>
      <c r="Y147" s="84"/>
    </row>
    <row r="148" spans="24:25" x14ac:dyDescent="0.25">
      <c r="X148" s="83"/>
      <c r="Y148" s="84"/>
    </row>
    <row r="149" spans="24:25" x14ac:dyDescent="0.25">
      <c r="X149" s="83"/>
      <c r="Y149" s="84"/>
    </row>
    <row r="150" spans="24:25" x14ac:dyDescent="0.25">
      <c r="X150" s="83"/>
      <c r="Y150" s="84"/>
    </row>
    <row r="151" spans="24:25" x14ac:dyDescent="0.25">
      <c r="X151" s="83"/>
      <c r="Y151" s="84"/>
    </row>
    <row r="152" spans="24:25" x14ac:dyDescent="0.25">
      <c r="X152" s="83"/>
      <c r="Y152" s="84"/>
    </row>
    <row r="153" spans="24:25" x14ac:dyDescent="0.25">
      <c r="X153" s="83"/>
      <c r="Y153" s="84"/>
    </row>
    <row r="154" spans="24:25" x14ac:dyDescent="0.25">
      <c r="X154" s="83"/>
      <c r="Y154" s="84"/>
    </row>
    <row r="155" spans="24:25" x14ac:dyDescent="0.25">
      <c r="X155" s="83"/>
      <c r="Y155" s="84"/>
    </row>
    <row r="156" spans="24:25" x14ac:dyDescent="0.25">
      <c r="X156" s="83"/>
      <c r="Y156" s="84"/>
    </row>
    <row r="157" spans="24:25" x14ac:dyDescent="0.25">
      <c r="X157" s="83"/>
      <c r="Y157" s="84"/>
    </row>
    <row r="158" spans="24:25" x14ac:dyDescent="0.25">
      <c r="X158" s="83"/>
      <c r="Y158" s="84"/>
    </row>
    <row r="159" spans="24:25" x14ac:dyDescent="0.25">
      <c r="X159" s="83"/>
      <c r="Y159" s="84"/>
    </row>
    <row r="160" spans="24:25" x14ac:dyDescent="0.25">
      <c r="X160" s="83"/>
      <c r="Y160" s="84"/>
    </row>
    <row r="161" spans="24:25" x14ac:dyDescent="0.25">
      <c r="X161" s="83"/>
      <c r="Y161" s="84"/>
    </row>
    <row r="162" spans="24:25" x14ac:dyDescent="0.25">
      <c r="X162" s="83"/>
      <c r="Y162" s="84"/>
    </row>
    <row r="163" spans="24:25" x14ac:dyDescent="0.25">
      <c r="X163" s="83"/>
      <c r="Y163" s="84"/>
    </row>
    <row r="164" spans="24:25" x14ac:dyDescent="0.25">
      <c r="X164" s="83"/>
      <c r="Y164" s="84"/>
    </row>
    <row r="165" spans="24:25" x14ac:dyDescent="0.25">
      <c r="X165" s="83"/>
      <c r="Y165" s="84"/>
    </row>
    <row r="166" spans="24:25" x14ac:dyDescent="0.25">
      <c r="X166" s="83"/>
      <c r="Y166" s="84"/>
    </row>
    <row r="167" spans="24:25" x14ac:dyDescent="0.25">
      <c r="X167" s="83"/>
      <c r="Y167" s="84"/>
    </row>
    <row r="168" spans="24:25" x14ac:dyDescent="0.25">
      <c r="X168" s="83"/>
      <c r="Y168" s="84"/>
    </row>
    <row r="169" spans="24:25" x14ac:dyDescent="0.25">
      <c r="X169" s="83"/>
      <c r="Y169" s="84"/>
    </row>
  </sheetData>
  <sheetProtection password="81C4" sheet="1" objects="1" scenarios="1" selectLockedCells="1" selectUnlockedCells="1"/>
  <pageMargins left="0.7" right="0.7" top="0.75" bottom="0.75" header="0.3" footer="0.3"/>
  <pageSetup paperSize="9" scale="79" orientation="landscape" r:id="rId1"/>
  <ignoredErrors>
    <ignoredError sqref="J76 H16:I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Instrucciones</vt:lpstr>
      <vt:lpstr>1. Inicial</vt:lpstr>
      <vt:lpstr>2. CalificaciónA</vt:lpstr>
      <vt:lpstr>3. Escenarios</vt:lpstr>
      <vt:lpstr>4. Comparativa</vt:lpstr>
      <vt:lpstr>5. Observaciones</vt:lpstr>
      <vt:lpstr>simulacion</vt:lpstr>
      <vt:lpstr>simulacion!Área_de_impresión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EULOGIO</dc:creator>
  <cp:lastModifiedBy>Efrén Gómez</cp:lastModifiedBy>
  <cp:lastPrinted>2018-05-04T13:11:16Z</cp:lastPrinted>
  <dcterms:created xsi:type="dcterms:W3CDTF">2018-04-19T10:44:58Z</dcterms:created>
  <dcterms:modified xsi:type="dcterms:W3CDTF">2018-05-24T09:47:46Z</dcterms:modified>
</cp:coreProperties>
</file>